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юбовь\OneDrive\Рабочий стол\Газоаналит\Документы\Элемер\"/>
    </mc:Choice>
  </mc:AlternateContent>
  <xr:revisionPtr revIDLastSave="0" documentId="13_ncr:1_{7D3B6894-8A1B-4C96-8CFD-7D9AE790D89F}" xr6:coauthVersionLast="47" xr6:coauthVersionMax="47" xr10:uidLastSave="{00000000-0000-0000-0000-000000000000}"/>
  <workbookProtection workbookPassword="CF50" lockStructure="1"/>
  <bookViews>
    <workbookView xWindow="28680" yWindow="-120" windowWidth="29040" windowHeight="15840" xr2:uid="{00000000-000D-0000-FFFF-FFFF00000000}"/>
  </bookViews>
  <sheets>
    <sheet name="ЭЛЕМЕР-СПГ" sheetId="1" r:id="rId1"/>
    <sheet name="п.2" sheetId="2" state="hidden" r:id="rId2"/>
    <sheet name="п.3" sheetId="4" state="hidden" r:id="rId3"/>
    <sheet name="п.4" sheetId="3" state="hidden" r:id="rId4"/>
    <sheet name="п.5" sheetId="6" state="hidden" r:id="rId5"/>
    <sheet name="п.6" sheetId="7" state="hidden" r:id="rId6"/>
    <sheet name="п.7" sheetId="8" state="hidden" r:id="rId7"/>
    <sheet name="п.8" sheetId="9" state="hidden" r:id="rId8"/>
    <sheet name="п.9" sheetId="10" state="hidden" r:id="rId9"/>
    <sheet name="п9_" sheetId="22" state="hidden" r:id="rId10"/>
    <sheet name="п.10" sheetId="12" state="hidden" r:id="rId11"/>
    <sheet name="п.11" sheetId="11" state="hidden" r:id="rId12"/>
    <sheet name="п.12" sheetId="13" state="hidden" r:id="rId13"/>
    <sheet name="п.13" sheetId="15" state="hidden" r:id="rId14"/>
    <sheet name="п.14" sheetId="16" state="hidden" r:id="rId15"/>
    <sheet name="п.15" sheetId="17" state="hidden" r:id="rId16"/>
    <sheet name="п.16" sheetId="18" state="hidden" r:id="rId17"/>
    <sheet name="п.17" sheetId="20" state="hidden" r:id="rId18"/>
    <sheet name="Фото" sheetId="23" state="hidden" r:id="rId19"/>
  </sheets>
  <definedNames>
    <definedName name="L_поплавка">п.9!$U$1</definedName>
    <definedName name="Монт_длина">'ЭЛЕМЕР-СПГ'!$O$14</definedName>
    <definedName name="_xlnm.Print_Area" localSheetId="0">'ЭЛЕМЕР-СПГ'!$A$1:$AH$60</definedName>
    <definedName name="фото">OFFSET(Фото!$C$2,MATCH('ЭЛЕМЕР-СПГ'!$O$13,Фото!$C$3:$C$7,0),1)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7" l="1"/>
  <c r="F7" i="15"/>
  <c r="C17" i="1"/>
  <c r="H4" i="7" l="1"/>
  <c r="H5" i="7"/>
  <c r="H6" i="7"/>
  <c r="H7" i="7"/>
  <c r="H3" i="7"/>
  <c r="F4" i="8" l="1"/>
  <c r="A4" i="8" s="1"/>
  <c r="F5" i="8"/>
  <c r="A5" i="8" s="1"/>
  <c r="F6" i="8"/>
  <c r="A6" i="8" s="1"/>
  <c r="F7" i="8"/>
  <c r="A7" i="8" s="1"/>
  <c r="F3" i="8"/>
  <c r="A3" i="8" s="1"/>
  <c r="F3" i="4"/>
  <c r="E13" i="1" l="1"/>
  <c r="F8" i="15"/>
  <c r="A8" i="15" s="1"/>
  <c r="F4" i="12"/>
  <c r="I4" i="12" s="1"/>
  <c r="G4" i="17"/>
  <c r="A4" i="17" s="1"/>
  <c r="A7" i="15" l="1"/>
  <c r="A4" i="12"/>
  <c r="L10" i="10"/>
  <c r="L5" i="10"/>
  <c r="R9" i="10" l="1"/>
  <c r="G10" i="1" l="1"/>
  <c r="G21" i="1"/>
  <c r="G23" i="1"/>
  <c r="G26" i="1"/>
  <c r="G27" i="1"/>
  <c r="G8" i="1"/>
  <c r="E27" i="1" l="1"/>
  <c r="X5" i="1" s="1"/>
  <c r="E26" i="1"/>
  <c r="W5" i="1" s="1"/>
  <c r="A4" i="16"/>
  <c r="A5" i="16"/>
  <c r="A6" i="16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E21" i="1"/>
  <c r="R5" i="1" s="1"/>
  <c r="A3" i="15"/>
  <c r="E14" i="1"/>
  <c r="E10" i="1"/>
  <c r="K5" i="1" s="1"/>
  <c r="E8" i="1"/>
  <c r="T14" i="1"/>
  <c r="I5" i="1" l="1"/>
  <c r="F3" i="6"/>
  <c r="A3" i="6" s="1"/>
  <c r="E11" i="1" s="1"/>
  <c r="AC11" i="1" s="1"/>
  <c r="F4" i="6"/>
  <c r="A4" i="6" s="1"/>
  <c r="F5" i="6"/>
  <c r="A5" i="6" s="1"/>
  <c r="O5" i="1"/>
  <c r="AC14" i="1"/>
  <c r="G14" i="1" s="1"/>
  <c r="A3" i="7"/>
  <c r="A4" i="7"/>
  <c r="A5" i="7"/>
  <c r="A6" i="7"/>
  <c r="A7" i="7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E12" i="1" l="1"/>
  <c r="F2" i="23"/>
  <c r="AC12" i="1" l="1"/>
  <c r="G12" i="1" s="1"/>
  <c r="M5" i="1"/>
  <c r="F5" i="12"/>
  <c r="F6" i="12"/>
  <c r="F7" i="12"/>
  <c r="F8" i="12"/>
  <c r="F9" i="12"/>
  <c r="F10" i="12"/>
  <c r="F11" i="12"/>
  <c r="F12" i="12"/>
  <c r="F13" i="12"/>
  <c r="F14" i="12"/>
  <c r="F15" i="12"/>
  <c r="F16" i="12"/>
  <c r="F3" i="12"/>
  <c r="R3" i="10"/>
  <c r="Q3" i="10"/>
  <c r="P3" i="10"/>
  <c r="O3" i="10"/>
  <c r="M3" i="10"/>
  <c r="L3" i="10"/>
  <c r="K3" i="10"/>
  <c r="J3" i="10"/>
  <c r="D15" i="1"/>
  <c r="P15" i="1" s="1"/>
  <c r="E15" i="1" s="1"/>
  <c r="A3" i="12" l="1"/>
  <c r="I3" i="12"/>
  <c r="A9" i="12"/>
  <c r="I9" i="12"/>
  <c r="A16" i="12"/>
  <c r="I16" i="12"/>
  <c r="A12" i="12"/>
  <c r="I12" i="12"/>
  <c r="A8" i="12"/>
  <c r="I8" i="12"/>
  <c r="A15" i="12"/>
  <c r="I15" i="12"/>
  <c r="A11" i="12"/>
  <c r="I11" i="12"/>
  <c r="A7" i="12"/>
  <c r="I7" i="12"/>
  <c r="A13" i="12"/>
  <c r="I13" i="12"/>
  <c r="A5" i="12"/>
  <c r="I5" i="12"/>
  <c r="A14" i="12"/>
  <c r="I14" i="12"/>
  <c r="A10" i="12"/>
  <c r="I10" i="12"/>
  <c r="A6" i="12"/>
  <c r="I6" i="12"/>
  <c r="D16" i="1"/>
  <c r="P16" i="1" s="1"/>
  <c r="D17" i="1"/>
  <c r="D18" i="1"/>
  <c r="D19" i="1"/>
  <c r="J4" i="12" l="1"/>
  <c r="J5" i="12"/>
  <c r="J9" i="12"/>
  <c r="J13" i="12"/>
  <c r="J3" i="12"/>
  <c r="J10" i="12"/>
  <c r="J14" i="12"/>
  <c r="J11" i="12"/>
  <c r="J15" i="12"/>
  <c r="J8" i="12"/>
  <c r="J12" i="12"/>
  <c r="J16" i="12"/>
  <c r="J6" i="12"/>
  <c r="J7" i="12"/>
  <c r="E20" i="1"/>
  <c r="AC20" i="1" s="1"/>
  <c r="G20" i="1" s="1"/>
  <c r="P18" i="1"/>
  <c r="P17" i="1"/>
  <c r="P19" i="1"/>
  <c r="E19" i="12" l="1"/>
  <c r="Q5" i="1"/>
  <c r="E16" i="1"/>
  <c r="E18" i="1"/>
  <c r="E17" i="1"/>
  <c r="E19" i="1"/>
  <c r="C18" i="1"/>
  <c r="C19" i="1"/>
  <c r="C16" i="1"/>
  <c r="C15" i="1"/>
  <c r="P5" i="1" l="1"/>
  <c r="L13" i="10"/>
  <c r="M13" i="10"/>
  <c r="N13" i="10"/>
  <c r="Q13" i="10"/>
  <c r="R13" i="10"/>
  <c r="S13" i="10"/>
  <c r="L12" i="10"/>
  <c r="M12" i="10"/>
  <c r="N12" i="10"/>
  <c r="Q12" i="10"/>
  <c r="R12" i="10"/>
  <c r="S12" i="10"/>
  <c r="S11" i="10"/>
  <c r="R11" i="10"/>
  <c r="Q11" i="10"/>
  <c r="N11" i="10"/>
  <c r="M11" i="10"/>
  <c r="L11" i="10"/>
  <c r="S10" i="10"/>
  <c r="R10" i="10"/>
  <c r="N10" i="10"/>
  <c r="M10" i="10"/>
  <c r="S9" i="10"/>
  <c r="N9" i="10"/>
  <c r="L8" i="10"/>
  <c r="M8" i="10"/>
  <c r="N8" i="10"/>
  <c r="Q8" i="10"/>
  <c r="R8" i="10"/>
  <c r="S8" i="10"/>
  <c r="Q7" i="10"/>
  <c r="R7" i="10"/>
  <c r="S7" i="10"/>
  <c r="L7" i="10"/>
  <c r="M7" i="10"/>
  <c r="N7" i="10"/>
  <c r="S6" i="10"/>
  <c r="R6" i="10"/>
  <c r="Q6" i="10"/>
  <c r="N6" i="10"/>
  <c r="M6" i="10"/>
  <c r="L6" i="10"/>
  <c r="S5" i="10"/>
  <c r="R5" i="10"/>
  <c r="N5" i="10"/>
  <c r="M5" i="10"/>
  <c r="S4" i="10"/>
  <c r="U1" i="10"/>
  <c r="N4" i="10"/>
  <c r="F4" i="13"/>
  <c r="F5" i="13"/>
  <c r="F6" i="13"/>
  <c r="F7" i="13"/>
  <c r="F8" i="13"/>
  <c r="F3" i="13"/>
  <c r="F5" i="15"/>
  <c r="F6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4" i="15"/>
  <c r="J13" i="10" l="1"/>
  <c r="J11" i="10"/>
  <c r="K12" i="10"/>
  <c r="K5" i="10"/>
  <c r="J12" i="10"/>
  <c r="K10" i="10"/>
  <c r="K13" i="10"/>
  <c r="K11" i="10"/>
  <c r="J10" i="10"/>
  <c r="K8" i="10"/>
  <c r="J7" i="10"/>
  <c r="R18" i="1" s="1"/>
  <c r="K7" i="10"/>
  <c r="J8" i="10"/>
  <c r="K6" i="10"/>
  <c r="J5" i="10"/>
  <c r="J6" i="10"/>
  <c r="O12" i="10"/>
  <c r="P10" i="10"/>
  <c r="P9" i="10"/>
  <c r="J4" i="10"/>
  <c r="R19" i="1" s="1"/>
  <c r="P7" i="10"/>
  <c r="Q5" i="10"/>
  <c r="P13" i="10"/>
  <c r="P11" i="10"/>
  <c r="O10" i="10"/>
  <c r="K9" i="10"/>
  <c r="P5" i="10"/>
  <c r="O7" i="10"/>
  <c r="S18" i="1" s="1"/>
  <c r="O5" i="10"/>
  <c r="P4" i="10"/>
  <c r="O13" i="10"/>
  <c r="O11" i="10"/>
  <c r="Q9" i="10"/>
  <c r="J9" i="10"/>
  <c r="P8" i="10"/>
  <c r="P6" i="10"/>
  <c r="R4" i="10"/>
  <c r="O4" i="10"/>
  <c r="P12" i="10"/>
  <c r="Q10" i="10"/>
  <c r="O9" i="10"/>
  <c r="K4" i="10"/>
  <c r="O8" i="10"/>
  <c r="O6" i="10"/>
  <c r="S17" i="1" s="1"/>
  <c r="Q4" i="10"/>
  <c r="A20" i="15"/>
  <c r="A12" i="15"/>
  <c r="A11" i="15"/>
  <c r="A16" i="15"/>
  <c r="A6" i="15"/>
  <c r="A19" i="15"/>
  <c r="A15" i="15"/>
  <c r="A5" i="15"/>
  <c r="A18" i="15"/>
  <c r="A14" i="15"/>
  <c r="A10" i="15"/>
  <c r="A4" i="15"/>
  <c r="A17" i="15"/>
  <c r="A13" i="15"/>
  <c r="A9" i="15"/>
  <c r="H6" i="13"/>
  <c r="A6" i="13"/>
  <c r="H3" i="13"/>
  <c r="A3" i="13"/>
  <c r="H5" i="13"/>
  <c r="A5" i="13"/>
  <c r="H7" i="13"/>
  <c r="A7" i="13"/>
  <c r="H8" i="13"/>
  <c r="A8" i="13"/>
  <c r="H4" i="13"/>
  <c r="A4" i="13"/>
  <c r="S19" i="1"/>
  <c r="F3" i="16"/>
  <c r="G3" i="17"/>
  <c r="A3" i="17" s="1"/>
  <c r="T19" i="1"/>
  <c r="T18" i="1"/>
  <c r="E23" i="1" l="1"/>
  <c r="T5" i="1" s="1"/>
  <c r="N5" i="1"/>
  <c r="R17" i="1"/>
  <c r="E22" i="1"/>
  <c r="AC22" i="1" s="1"/>
  <c r="G22" i="1" s="1"/>
  <c r="R15" i="1"/>
  <c r="S16" i="1"/>
  <c r="A5" i="17"/>
  <c r="E25" i="1" s="1"/>
  <c r="AC25" i="1" s="1"/>
  <c r="G3" i="16"/>
  <c r="A3" i="16"/>
  <c r="S15" i="1"/>
  <c r="AC19" i="1"/>
  <c r="G19" i="1" s="1"/>
  <c r="T17" i="1"/>
  <c r="T15" i="1"/>
  <c r="G25" i="1" l="1"/>
  <c r="V5" i="1"/>
  <c r="G11" i="1"/>
  <c r="L5" i="1"/>
  <c r="E24" i="1"/>
  <c r="AC24" i="1" s="1"/>
  <c r="G24" i="1" s="1"/>
  <c r="R16" i="1"/>
  <c r="AC16" i="1" s="1"/>
  <c r="G16" i="1" s="1"/>
  <c r="S5" i="1"/>
  <c r="AC15" i="1"/>
  <c r="G15" i="1" s="1"/>
  <c r="AC18" i="1"/>
  <c r="G18" i="1" s="1"/>
  <c r="G4" i="10"/>
  <c r="G5" i="10"/>
  <c r="G6" i="10"/>
  <c r="G7" i="10"/>
  <c r="G8" i="10"/>
  <c r="G9" i="10"/>
  <c r="G10" i="10"/>
  <c r="G11" i="10"/>
  <c r="G12" i="10"/>
  <c r="G13" i="10"/>
  <c r="G3" i="10"/>
  <c r="F4" i="4"/>
  <c r="A4" i="4" s="1"/>
  <c r="F5" i="4"/>
  <c r="A5" i="4" s="1"/>
  <c r="F6" i="4"/>
  <c r="A6" i="4" s="1"/>
  <c r="F7" i="4"/>
  <c r="A7" i="4" s="1"/>
  <c r="F8" i="4"/>
  <c r="A8" i="4" s="1"/>
  <c r="F9" i="4"/>
  <c r="A9" i="4" s="1"/>
  <c r="F10" i="4"/>
  <c r="A10" i="4" s="1"/>
  <c r="F11" i="4"/>
  <c r="A11" i="4" s="1"/>
  <c r="F12" i="4"/>
  <c r="A12" i="4" s="1"/>
  <c r="F13" i="4"/>
  <c r="A13" i="4" s="1"/>
  <c r="A3" i="4"/>
  <c r="T16" i="1"/>
  <c r="U5" i="1" l="1"/>
  <c r="E9" i="1"/>
  <c r="AC13" i="1" s="1"/>
  <c r="G13" i="1" s="1"/>
  <c r="T11" i="10"/>
  <c r="A11" i="10"/>
  <c r="T7" i="10"/>
  <c r="A7" i="10"/>
  <c r="T3" i="10"/>
  <c r="A3" i="10"/>
  <c r="T10" i="10"/>
  <c r="A10" i="10"/>
  <c r="T6" i="10"/>
  <c r="A6" i="10"/>
  <c r="T13" i="10"/>
  <c r="A13" i="10"/>
  <c r="T9" i="10"/>
  <c r="A9" i="10"/>
  <c r="T5" i="10"/>
  <c r="A5" i="10"/>
  <c r="T12" i="10"/>
  <c r="A12" i="10"/>
  <c r="T8" i="10"/>
  <c r="A8" i="10"/>
  <c r="T4" i="10"/>
  <c r="A4" i="10"/>
  <c r="AC17" i="1"/>
  <c r="G17" i="1" s="1"/>
  <c r="C9" i="1"/>
  <c r="C20" i="1"/>
  <c r="C25" i="1"/>
  <c r="C14" i="1"/>
  <c r="C26" i="1"/>
  <c r="C8" i="1"/>
  <c r="C27" i="1"/>
  <c r="C23" i="1"/>
  <c r="C21" i="1"/>
  <c r="C24" i="1"/>
  <c r="C22" i="1"/>
  <c r="C11" i="1"/>
  <c r="C12" i="1"/>
  <c r="C13" i="1"/>
  <c r="C10" i="1"/>
  <c r="C7" i="1"/>
  <c r="AC9" i="1" l="1"/>
  <c r="G9" i="1" s="1"/>
  <c r="J5" i="1"/>
  <c r="H2" i="1" s="1"/>
  <c r="T22" i="1"/>
  <c r="T24" i="1"/>
  <c r="T26" i="1"/>
  <c r="T11" i="1"/>
  <c r="T12" i="1"/>
  <c r="T23" i="1"/>
  <c r="T21" i="1"/>
  <c r="T25" i="1"/>
  <c r="T10" i="1"/>
  <c r="T27" i="1"/>
  <c r="T8" i="1"/>
  <c r="T20" i="1"/>
  <c r="T13" i="1"/>
  <c r="T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R15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МИНИМУМ</t>
        </r>
      </text>
    </comment>
    <comment ref="S15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МАКСИМУМ</t>
        </r>
      </text>
    </comment>
  </commentList>
</comments>
</file>

<file path=xl/sharedStrings.xml><?xml version="1.0" encoding="utf-8"?>
<sst xmlns="http://schemas.openxmlformats.org/spreadsheetml/2006/main" count="533" uniqueCount="338">
  <si>
    <t>ЭЛЕМЕР- СПГ</t>
  </si>
  <si>
    <t>—</t>
  </si>
  <si>
    <t>М2</t>
  </si>
  <si>
    <t>R</t>
  </si>
  <si>
    <t>t4070</t>
  </si>
  <si>
    <t>2. Код модификации (таблица 8)</t>
  </si>
  <si>
    <t>схема подключения с независимыми контактными группами</t>
  </si>
  <si>
    <t>схема подключения с общим проводом</t>
  </si>
  <si>
    <t>3. Вид исполнения (таблица 1)</t>
  </si>
  <si>
    <t>общепромышленное</t>
  </si>
  <si>
    <t>ЕхiaIIAT5</t>
  </si>
  <si>
    <t>ЕхiaIIBT5</t>
  </si>
  <si>
    <t>ExdbIIAT5</t>
  </si>
  <si>
    <t>ExdbIIВT5</t>
  </si>
  <si>
    <t>0ExiadbIIAT5</t>
  </si>
  <si>
    <t>0ExiadbIIВT5</t>
  </si>
  <si>
    <t>1ExdbiaIIAT5</t>
  </si>
  <si>
    <t>1ExdbiaIIВT5</t>
  </si>
  <si>
    <t>01ExiadbIIАT5</t>
  </si>
  <si>
    <t>01ExiadbIIВT5</t>
  </si>
  <si>
    <t>4. Не используется</t>
  </si>
  <si>
    <t>алюминиевый сплав</t>
  </si>
  <si>
    <t>нержавеющая сталь</t>
  </si>
  <si>
    <t>6. Количество уровней (таблица 2)</t>
  </si>
  <si>
    <t>Количество поплавков 1</t>
  </si>
  <si>
    <t>Количество поплавков 2</t>
  </si>
  <si>
    <t>Количество поплавков 3</t>
  </si>
  <si>
    <t>Количество поплавков 4</t>
  </si>
  <si>
    <t>Количество поплавков 5</t>
  </si>
  <si>
    <t xml:space="preserve">п.2  модификация: "51" </t>
  </si>
  <si>
    <t>п.2  модификация: "51" / "52"</t>
  </si>
  <si>
    <t xml:space="preserve">п.7 Код модификации монтажной части: "М1" / "М1П" / "М2" </t>
  </si>
  <si>
    <t>М1</t>
  </si>
  <si>
    <t>М1П</t>
  </si>
  <si>
    <t>М3</t>
  </si>
  <si>
    <t>М4</t>
  </si>
  <si>
    <t>диаметр арматуры Ø20 мм, длина до 6000 мм, количество уровней — 1…5</t>
  </si>
  <si>
    <t>диаметр арматуры Ø20 мм, длина до 6000 мм, количество уровней — 1…5 с подстройкой по месту эксплуатации, диапазон подстройки ± 50 мм, для каждой точки сигнализации</t>
  </si>
  <si>
    <t>диаметр арматуры Ø14 мм, длина до 3000 мм, количество уровней — 1;2</t>
  </si>
  <si>
    <t>диаметр арматуры Ø 8 мм, длина до 2000 мм, количество уровней — 1</t>
  </si>
  <si>
    <t>горизонтальный монтаж, количество уровней — 1</t>
  </si>
  <si>
    <t>Код</t>
  </si>
  <si>
    <t>Пункт</t>
  </si>
  <si>
    <t>ХХХ</t>
  </si>
  <si>
    <t>9. Диапазоны сигнализации, мм: (таблица 2)</t>
  </si>
  <si>
    <t>только для модификации «М4»</t>
  </si>
  <si>
    <t>HL1</t>
  </si>
  <si>
    <t>HL2</t>
  </si>
  <si>
    <t>HL3</t>
  </si>
  <si>
    <t>HL4</t>
  </si>
  <si>
    <t>HL5</t>
  </si>
  <si>
    <t>HH1</t>
  </si>
  <si>
    <t>HH2</t>
  </si>
  <si>
    <t>HH3</t>
  </si>
  <si>
    <t>HH4</t>
  </si>
  <si>
    <t>HH5</t>
  </si>
  <si>
    <t>сигнализация при понижении уровня</t>
  </si>
  <si>
    <t>сигнализация при повышении уровня</t>
  </si>
  <si>
    <t>п.7 Код модификации монтажной части: "М1" / "М1П"</t>
  </si>
  <si>
    <t>10. Код типа присоединения к процессу 
(таблицы 2; 3.1; 3.2)</t>
  </si>
  <si>
    <t>1М20</t>
  </si>
  <si>
    <t>1М272</t>
  </si>
  <si>
    <t>1М33</t>
  </si>
  <si>
    <t>1G12</t>
  </si>
  <si>
    <t>1G34</t>
  </si>
  <si>
    <t>1G10</t>
  </si>
  <si>
    <t>D15</t>
  </si>
  <si>
    <t>D16</t>
  </si>
  <si>
    <t>D17</t>
  </si>
  <si>
    <t>R2</t>
  </si>
  <si>
    <t>FХХ-ХХ</t>
  </si>
  <si>
    <t>ХХ</t>
  </si>
  <si>
    <t>DNХХ-XX-X</t>
  </si>
  <si>
    <t>штуцер с наружной резьбой М20х1,5, для модификации «М3»</t>
  </si>
  <si>
    <t>штуцер с наружной резьбой М27х2, для модификаций: «М2», «М3»</t>
  </si>
  <si>
    <t>штуцер с наружной резьбой М33х2, для модификаций: «М1», «М1П», «М2»</t>
  </si>
  <si>
    <t>штуцер с наружной резьбой G1/2”, для модификации «М3»</t>
  </si>
  <si>
    <t>штуцер с наружной резьбой G3/4”, для модификаций: «М1», «М1П», «М2», «М3»</t>
  </si>
  <si>
    <t>штуцер с наружной резьбой G1”, для модификаций: «М1», «М1П», «М2»</t>
  </si>
  <si>
    <t>подвижный штуцер с наружной резьбой G1/2”, для модификации «М3»</t>
  </si>
  <si>
    <t>подвижный штуцер с наружной резьбой G3/4”, для модификации «М2»</t>
  </si>
  <si>
    <t>подвижный штуцер с наружной резьбой G1”, для модификаций: «М1», «М1П»</t>
  </si>
  <si>
    <t>резьба по отдельному согласованию с производителем</t>
  </si>
  <si>
    <t>фланец приварной, размерный ряд в соответствии с ГОСТ 33259-2015, DN(ХХ)-(PN)-(вид исполнения)</t>
  </si>
  <si>
    <t xml:space="preserve">п.7 Код модификации монтажной части:  "М3" </t>
  </si>
  <si>
    <t>п.7 Код модификации монтажной части: "М3"</t>
  </si>
  <si>
    <t xml:space="preserve">п.7 Код модификации монтажной части: "М3" </t>
  </si>
  <si>
    <t>п.7 Код модификации монтажной части: "М1" / "М1П" / "М2" / "М3"</t>
  </si>
  <si>
    <t xml:space="preserve">п.7 Код модификации монтажной части: "М2" </t>
  </si>
  <si>
    <t xml:space="preserve">п.7 Код модификации монтажной части: "М4" </t>
  </si>
  <si>
    <t>п.7 Код модификации монтажной части: "М4" горизонтальный монтаж с фланцевым присоединением, таблица 3.2, приложение 1</t>
  </si>
  <si>
    <t>11. Код материала (покрытия) погружной части 
(таблица 4)</t>
  </si>
  <si>
    <t>"02"</t>
  </si>
  <si>
    <t>"Н"</t>
  </si>
  <si>
    <t>сталь 12Х18Н10Т</t>
  </si>
  <si>
    <t>материал по отдельному согласованию с производителем</t>
  </si>
  <si>
    <t>Цилиндр Ø38х27 мм, для кода модификации монтажной части «М3»</t>
  </si>
  <si>
    <t>Цилиндр Ø45х56 мм, для кода модификации монтажной части «М2»</t>
  </si>
  <si>
    <t>Цилиндр Ø86х100 мм, для кода модификации монтажной части «М1», «М1П»</t>
  </si>
  <si>
    <t>Сфера Ø86 мм, для кода модификации монтажной части «М1», «М1П»</t>
  </si>
  <si>
    <t>Сфера Ø123 мм, для кода модификации монтажной части «М1», «М1П»</t>
  </si>
  <si>
    <t>Горизонтальный монтаж, сталь, для кода модификации монтажной части «М4»</t>
  </si>
  <si>
    <t>13. Код комплекта монтажных частей для 
присоединения к процессу (таблицы: 6.1; 6.2)</t>
  </si>
  <si>
    <t>БП1-М20-12</t>
  </si>
  <si>
    <t>БП1-М20-20</t>
  </si>
  <si>
    <t>БП1-М27-12</t>
  </si>
  <si>
    <t>БП1-М27-20</t>
  </si>
  <si>
    <t>БП1-М33-12</t>
  </si>
  <si>
    <t>БП1-М33-20</t>
  </si>
  <si>
    <t>БП1-G12-12</t>
  </si>
  <si>
    <t>БП1- G12-20</t>
  </si>
  <si>
    <t>БП1-G34-12</t>
  </si>
  <si>
    <t>БП1-G34-20</t>
  </si>
  <si>
    <t>БП1-G1-12</t>
  </si>
  <si>
    <t>БП1- G1-20</t>
  </si>
  <si>
    <t>G2</t>
  </si>
  <si>
    <t>Х-ХХХ-Х</t>
  </si>
  <si>
    <t>DN-ХХ-ХХ</t>
  </si>
  <si>
    <t>Без КМЧ</t>
  </si>
  <si>
    <t>бобышка М20×1,5, нержавеющая сталь 12Х18Н10Т</t>
  </si>
  <si>
    <t>бобышка М20×1,5, сталь 20</t>
  </si>
  <si>
    <t>бобышка М27×2, нержавеющая сталь 12Х18Н10Т</t>
  </si>
  <si>
    <t>бобышка М27×2, сталь 20</t>
  </si>
  <si>
    <t>бобышка М33×2, нержавеющая сталь 12Х18Н10Т</t>
  </si>
  <si>
    <t>бобышка М33×2, сталь 20</t>
  </si>
  <si>
    <t>бобышка G1/2”, нержавеющая сталь 12Х18Н10Т</t>
  </si>
  <si>
    <t>бобышка G1/2”, сталь 20</t>
  </si>
  <si>
    <t>бобышка G3/4”, нержавеющая сталь 12Х18Н10Т</t>
  </si>
  <si>
    <t>бобышка G3/4”, сталь 20</t>
  </si>
  <si>
    <t>бобышка G1”, нержавеющая сталь 12Х18Н10Т</t>
  </si>
  <si>
    <t>бобышка G1”, сталь 20</t>
  </si>
  <si>
    <t>Переходник с резьбы G1” на наружную резьбу G2”</t>
  </si>
  <si>
    <t>фланец с резьбой G3/4”, для штуцерного исполнения «1G34» с уплотнительной прокладкой, для модификаций монтажной части: «М1», «М1П», «М2», «М3»</t>
  </si>
  <si>
    <t>ответный фланец, в соответствии с заказом</t>
  </si>
  <si>
    <t>14. Тип кабельных вводов (таблица 7)</t>
  </si>
  <si>
    <t>К-13</t>
  </si>
  <si>
    <t>КБ-13</t>
  </si>
  <si>
    <t>КБ-17</t>
  </si>
  <si>
    <t>КТ-1/2</t>
  </si>
  <si>
    <t>КТ-3/4</t>
  </si>
  <si>
    <t>КВМ-15Вн</t>
  </si>
  <si>
    <t>КВМ-16Вн</t>
  </si>
  <si>
    <t>КВМ-20Вн</t>
  </si>
  <si>
    <t>КВМ-22Вн</t>
  </si>
  <si>
    <t>ЗР</t>
  </si>
  <si>
    <t>20 Pн Ni</t>
  </si>
  <si>
    <t>20 KHK Ni</t>
  </si>
  <si>
    <t>20 KHН Ni</t>
  </si>
  <si>
    <t>20 KБУ Ni</t>
  </si>
  <si>
    <t>20 KНХ Ni</t>
  </si>
  <si>
    <t>20 KНТ Ni</t>
  </si>
  <si>
    <t>20s KMP 045 Ni</t>
  </si>
  <si>
    <t>20 KMP 050 Ni</t>
  </si>
  <si>
    <t>20 KMP 080 Ni</t>
  </si>
  <si>
    <t>20 KМР 120 Ni</t>
  </si>
  <si>
    <t xml:space="preserve">Кабельный ввод FBA21-10 (металл)
Диаметр кабеля Ø7-11 мм.
</t>
  </si>
  <si>
    <t xml:space="preserve">Кабельный ввод для небронированного кабеля
(диаметр обжимаемого кабеля 6…13 мм)
</t>
  </si>
  <si>
    <t xml:space="preserve">Кабельный ввод для бронированного (экранированного)
(диаметр обжимаемого кабеля 6…13 мм)
(диаметр обжимаемой брони 13,5 мм)
</t>
  </si>
  <si>
    <t xml:space="preserve">Кабельный ввод для бронированного (экранированного)
(диаметр обжимаемого кабеля 6…13 мм)
(диаметр обжимаемой брони 17,5 мм)
</t>
  </si>
  <si>
    <t xml:space="preserve">Кабельный ввод для небронированного кабеля
c трубной резьбой G1/2"
(диаметр обжимаемого кабеля 6…13 мм)
</t>
  </si>
  <si>
    <t xml:space="preserve">Кабельный ввод для небронированного кабеля с трубной резьбой G3/4"
(диаметр обжимаемого кабеля 6…13 мм)
</t>
  </si>
  <si>
    <t xml:space="preserve">Кабельный ввод для небронированного кабеля под металлорукав Ду 15 мм
(диаметр обжимаемого кабеля 6…13 мм)
</t>
  </si>
  <si>
    <t xml:space="preserve">Кабельный ввод для неброниро-ванного кабеля под металлору-кав Ду 16 мм
(диаметр обжимаемого кабеля 6…13 мм)
</t>
  </si>
  <si>
    <t xml:space="preserve">Кабельный ввод для небронированного кабеля под металлорукав Ду 20 мм
(диаметр обжимаемого кабеля 6…13 мм)
</t>
  </si>
  <si>
    <t xml:space="preserve">Кабельный ввод для небронированного кабеля под металлорукав Ду 22 мм
(диаметр обжимаемого кабеля 6…13 мм)
</t>
  </si>
  <si>
    <t>Заглушка резьбовая, VHR90</t>
  </si>
  <si>
    <t xml:space="preserve">Заглушка BLOCK, под ключ, М20х1,5, Ex d IIC Gb U / Ex e IIC Cb U / Ex ta IIIC Da U 
(В=15 мм, М=24 мм, N=26,2 мм)
</t>
  </si>
  <si>
    <t xml:space="preserve">Кабельный ввод BLOCK 20 под неброни-рованный кабель 6,5 - 13,9 мм, М20 х1,5 6g, 1Ex d IIC Gb X / 1Ex e IIC Gb X / 2Ex nR IIC Gc X / Ex ta IIIC Da X   
(М=27 мм, N=29,5 мм, L=42,5 мм)
</t>
  </si>
  <si>
    <t xml:space="preserve">Кабельный ввод BLOCK под неброниро-ванный кабель 6,5 - 13,9 мм с двойным уплотнением, М20 х1,5,  1Ex d IIC Gb X / 1Ex e IIC Gb X / 2Ex nR IIC Gc X / Ex ta IIIC Da X
(М=27 мм, N=29,5 мм, L=88,15 мм)
</t>
  </si>
  <si>
    <t xml:space="preserve">Кабельный ввод BLOCK под бронированный кабель, 6,5-13,9 мм,12,5-20,9 мм, М20x1,5 6g, 1Ex d IIC Gb X / 1Ex e IIC Gb X / 2Ex nR IIC Gc X / Ex ta IIIC 
 (М=30 мм, N=33 мм, L=88,4 мм)
</t>
  </si>
  <si>
    <t xml:space="preserve">Кабельный ввод BLOCK под неброниро-ванный кабель 6,5-13,9 мм в трубе, нар. М20х1,5 6g, нар. внеш. М20х1,5 6Н, 1Ex d IIC Gb X / 1Ex e IIC Gb X / 2Ex nR IIC Gc X / Ex ta IIIC Da X
 (М=27 мм, N=29,5 мм, L=37,8 мм)
</t>
  </si>
  <si>
    <t xml:space="preserve">Кабельный ввод BLOCK под неброниро-ванный кабель 6,5-13,9 мм в трубе, нар. М20х1,5 6g, вн. М20х1,5 6Н, 1Ex d IIC Gb X / 1Ex e IIC Gb X / 2Ex nR IIC Gc X / Ex ta IIIC Da X
 (М=27 мм, N=29,5 мм, L=47,3 мм)
</t>
  </si>
  <si>
    <t xml:space="preserve">Кабельный ввод BLOCK под небронированный кабель 6,1 - 11,7 мм в металлорукаве Ду15 мм, М20x1,5, 1Ex d IIC Gb X / 1Ex e IIC Gb X / 2Ex nR IIC Gc X / Ex ta IIIC Da X 
(М=24 мм, N=26,2 мм, L=35,25 мм)
</t>
  </si>
  <si>
    <t xml:space="preserve">Кабельный ввод BLOCK под неброниро-ванный кабель  6,5 - 13,0 мм в металлору-каве Ду15 мм, М20x1,5, 1Ex d IIC Gb X / 1Ex e IIC Gb X / 2Ex nR IIC Gc X / Ex ta IIIC Da X
(М=27 мм, N=29,5 мм, L=36,4 мм)
</t>
  </si>
  <si>
    <t xml:space="preserve">Кабельный ввод BLOCK  под небронированный кабель 6,5 - 13,9 мм в металлорукаве Ду20 мм, М20x1,5, 1Ex d IIC Gb X / 1Ex e IIC Gb X / 2Ex nR IIC Gc X / Ex ta IIIC Da X                                        
(М=27 мм, N=29,5 мм, L=35,8 мм)
</t>
  </si>
  <si>
    <t>Кабельный ввод BLOCK 20 под небронированный кабель 6,5 - 13,9 мм в металлорукаве Ду25 мм, М20x1,5, 1Ex d IIC Gb X / 1Ex e IIC Gb X / 2Ex nR IIC Gc X / Ex ta IIIC Da X</t>
  </si>
  <si>
    <t>N</t>
  </si>
  <si>
    <t>15. Выходной сигнал: (таблица 8)</t>
  </si>
  <si>
    <t>сухой контакт</t>
  </si>
  <si>
    <t xml:space="preserve">п. 2 Код модификации (таблица 8): «51» «52» </t>
  </si>
  <si>
    <t xml:space="preserve">NAMUR </t>
  </si>
  <si>
    <t xml:space="preserve">п. 2 Код модификации (таблица 8): «51» </t>
  </si>
  <si>
    <t>16. Климатическое исполнение (таблица 9)</t>
  </si>
  <si>
    <t>t6570</t>
  </si>
  <si>
    <t>t4070 УХЛ3.1</t>
  </si>
  <si>
    <t>t6570 УХЛ1</t>
  </si>
  <si>
    <r>
      <t>PGM</t>
    </r>
    <r>
      <rPr>
        <i/>
        <sz val="12"/>
        <color theme="1"/>
        <rFont val="Times New Roman"/>
        <family val="1"/>
        <charset val="204"/>
      </rPr>
      <t>*</t>
    </r>
  </si>
  <si>
    <t>от минус 40 до плюс 70 °С</t>
  </si>
  <si>
    <t>от минус 65 до плюс 70 °С</t>
  </si>
  <si>
    <t>17. Номинальное давление рабочей среды, 
МПа:</t>
  </si>
  <si>
    <t>7.  Код модификации монтажной части (таблица 2, приложение 1)</t>
  </si>
  <si>
    <t>8.  Длина монтажной части L, мм
 (таблица 2, приложение 1)</t>
  </si>
  <si>
    <r>
      <t>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Код модификации монтажной части (таблица 2, приложение 1)</t>
    </r>
  </si>
  <si>
    <r>
      <t>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Длина монтажной части L, мм
 (таблица 2, приложение 1)</t>
    </r>
  </si>
  <si>
    <t>1.ЭЛЕМЕР- СПГ</t>
  </si>
  <si>
    <t>Описание</t>
  </si>
  <si>
    <t>Кол-во в списке</t>
  </si>
  <si>
    <t>Название листа</t>
  </si>
  <si>
    <t>№</t>
  </si>
  <si>
    <t>МПа</t>
  </si>
  <si>
    <t>МПа, по отдельному согласованию</t>
  </si>
  <si>
    <t xml:space="preserve">С видом взрывозащиты «Ex — искробезопасная эл. цепь i» </t>
  </si>
  <si>
    <t xml:space="preserve">С видом взрывозащиты «Exd — взрывонепроницае-мые оболочки» </t>
  </si>
  <si>
    <t xml:space="preserve">С видом взрывозащиты Exdia — взрывонепроницае-мые оболочки и искробезопасная электрическая цепь»  Exdia </t>
  </si>
  <si>
    <t xml:space="preserve"> </t>
  </si>
  <si>
    <t>Описание ошибки</t>
  </si>
  <si>
    <t>Проверка</t>
  </si>
  <si>
    <t>модификация</t>
  </si>
  <si>
    <t>М1, М1П, М2, М3, М4</t>
  </si>
  <si>
    <t>М1, М2, М3, М4</t>
  </si>
  <si>
    <t>п.7 Код модификации монтажной части: «М1» / «М1П» / «М2» / «М3» /  «М4»</t>
  </si>
  <si>
    <t xml:space="preserve">п.7 Код модификации монтажной части: «М1» / «М1П» / «М2» </t>
  </si>
  <si>
    <t xml:space="preserve">п.7 Код модификации монтажной части: «М1» / «М1П» </t>
  </si>
  <si>
    <t>п.7 Код модификации монтажной части: «М1» / «М1П»</t>
  </si>
  <si>
    <t>п.7 Код модификации монтажной части: «М1» / «М1П» / «М2»</t>
  </si>
  <si>
    <t>п.2  модификация: «51» / «52»</t>
  </si>
  <si>
    <t xml:space="preserve">п.2  модификация: «51» </t>
  </si>
  <si>
    <t>п.1</t>
  </si>
  <si>
    <t>п.2</t>
  </si>
  <si>
    <t>п.3</t>
  </si>
  <si>
    <t>п.4</t>
  </si>
  <si>
    <t>п.5</t>
  </si>
  <si>
    <t>п.6</t>
  </si>
  <si>
    <t>п.7</t>
  </si>
  <si>
    <t>п.8</t>
  </si>
  <si>
    <t>п.10</t>
  </si>
  <si>
    <t>п.11</t>
  </si>
  <si>
    <t>п.12</t>
  </si>
  <si>
    <t>п.13</t>
  </si>
  <si>
    <t>п.14</t>
  </si>
  <si>
    <t>п.15</t>
  </si>
  <si>
    <t>п.16</t>
  </si>
  <si>
    <t>п.17</t>
  </si>
  <si>
    <t>М1 / М1П — длина от 162 до 6000 мм.
М2 — длина от 140 до 3000 мм.
М3 — длина от 110 до 2000 мм.</t>
  </si>
  <si>
    <t>Базовое для исполнения «М4», L=100 мм, иная длина по согласованию с шагом 10 мм, L макси-мально 300 мм.</t>
  </si>
  <si>
    <t>HL1-(мм)</t>
  </si>
  <si>
    <t>HL2-(мм)</t>
  </si>
  <si>
    <t>HL3-(мм)</t>
  </si>
  <si>
    <t>HL4-(мм)</t>
  </si>
  <si>
    <t>HL5-(мм)</t>
  </si>
  <si>
    <t>HH1-(мм)</t>
  </si>
  <si>
    <t>HH2-(мм)</t>
  </si>
  <si>
    <t>HH3-(мм)</t>
  </si>
  <si>
    <t>HH4-(мм)</t>
  </si>
  <si>
    <t>HH5-(мм)</t>
  </si>
  <si>
    <t xml:space="preserve">Вид записи </t>
  </si>
  <si>
    <t xml:space="preserve">Примеры </t>
  </si>
  <si>
    <t>HL1-400/HH2-900/HL3-1900</t>
  </si>
  <si>
    <t>HН1-400/HL2-900/HH3-1900</t>
  </si>
  <si>
    <t>HL1-400</t>
  </si>
  <si>
    <t>HL1-400/HH2-900</t>
  </si>
  <si>
    <t>HН1-400/HH2-900/HH3-1900/HL4-2900</t>
  </si>
  <si>
    <t>HН1-400/HL2-900</t>
  </si>
  <si>
    <t>HН1-400</t>
  </si>
  <si>
    <t>HL1-400/HH2-900/HH3-1900/HL4-2900</t>
  </si>
  <si>
    <t>HН1-400/HH2-900/HH3-1900/HH4-2900/HL5-3900</t>
  </si>
  <si>
    <t>HL1-400/HH2-900/HH3-1900/HL4-2900/HL5-3900</t>
  </si>
  <si>
    <t xml:space="preserve">— L поплавка, п.12
—  L монтажной части, п. 8 </t>
  </si>
  <si>
    <r>
      <rPr>
        <b/>
        <sz val="12"/>
        <color theme="1"/>
        <rFont val="Times New Roman"/>
        <family val="1"/>
        <charset val="204"/>
      </rPr>
      <t>Для модификации  «М1» / «М1П»:</t>
    </r>
    <r>
      <rPr>
        <sz val="12"/>
        <color theme="1"/>
        <rFont val="Times New Roman"/>
        <family val="1"/>
        <charset val="204"/>
      </rPr>
      <t xml:space="preserve"> 
— HL1≥100+ (1,5хLпоплавка)
— Максимальный диапазон сигнализации опорожнения:
HL1 ≤Lмонтажной части – (0,5хLпоплавка+12).
</t>
    </r>
    <r>
      <rPr>
        <b/>
        <sz val="12"/>
        <color theme="1"/>
        <rFont val="Times New Roman"/>
        <family val="1"/>
        <charset val="204"/>
      </rPr>
      <t>Для модификации  «М2»:</t>
    </r>
    <r>
      <rPr>
        <sz val="12"/>
        <color theme="1"/>
        <rFont val="Times New Roman"/>
        <family val="1"/>
        <charset val="204"/>
      </rPr>
      <t xml:space="preserve"> 
— HL1≥184
— Максимальный диапазон сигнализации опорожнения:
HL1 ≤Lмонтажной части – (0,5хLпоплавка+12).
</t>
    </r>
    <r>
      <rPr>
        <b/>
        <sz val="12"/>
        <color theme="1"/>
        <rFont val="Times New Roman"/>
        <family val="1"/>
        <charset val="204"/>
      </rPr>
      <t xml:space="preserve">Для модификации  «М3»: </t>
    </r>
    <r>
      <rPr>
        <sz val="12"/>
        <color theme="1"/>
        <rFont val="Times New Roman"/>
        <family val="1"/>
        <charset val="204"/>
      </rPr>
      <t xml:space="preserve">
— HL1≥90
— — Максимальный диапазон сигнализации опорожнения:
HL1 ≤Lмонтажной части – (0,5хLпоплавка+12).
</t>
    </r>
  </si>
  <si>
    <r>
      <rPr>
        <b/>
        <sz val="12"/>
        <color theme="1"/>
        <rFont val="Times New Roman"/>
        <family val="1"/>
        <charset val="204"/>
      </rPr>
      <t>Для модификации  «М1» / «М1П»:</t>
    </r>
    <r>
      <rPr>
        <sz val="12"/>
        <color theme="1"/>
        <rFont val="Times New Roman"/>
        <family val="1"/>
        <charset val="204"/>
      </rPr>
      <t xml:space="preserve">
— HL2</t>
    </r>
    <r>
      <rPr>
        <b/>
        <sz val="12"/>
        <color theme="1"/>
        <rFont val="Times New Roman"/>
        <family val="1"/>
        <charset val="204"/>
      </rPr>
      <t xml:space="preserve">≥ </t>
    </r>
    <r>
      <rPr>
        <sz val="12"/>
        <color theme="1"/>
        <rFont val="Times New Roman"/>
        <family val="1"/>
        <charset val="204"/>
      </rPr>
      <t xml:space="preserve">HL1+12+(2хLпоплавка)
— Максимальный диапазон сигнализации опорожнения:
 HL2 ≤Lмонтажной части – (0,5хLпоплавка+12)
</t>
    </r>
    <r>
      <rPr>
        <b/>
        <sz val="12"/>
        <color theme="1"/>
        <rFont val="Times New Roman"/>
        <family val="1"/>
        <charset val="204"/>
      </rPr>
      <t xml:space="preserve">Для модификации  «М2»: </t>
    </r>
    <r>
      <rPr>
        <sz val="12"/>
        <color theme="1"/>
        <rFont val="Times New Roman"/>
        <family val="1"/>
        <charset val="204"/>
      </rPr>
      <t xml:space="preserve">
— HL2≥ HL1+124
— Максимальный диапазон сигнализации опорожнения:
HL1 ≤Lмонтажной части – (0,5хLпоплавка+12).</t>
    </r>
  </si>
  <si>
    <t xml:space="preserve">п.7 Код модификации монтажной части: «М1» / «М1П» / «М2» / «М3» </t>
  </si>
  <si>
    <t>п.7 Код модификации монтажной части: «М1» / «М1П» / «М2» / «М3»</t>
  </si>
  <si>
    <r>
      <rPr>
        <b/>
        <sz val="12"/>
        <color theme="1"/>
        <rFont val="Times New Roman"/>
        <family val="1"/>
        <charset val="204"/>
      </rPr>
      <t xml:space="preserve">Для модификации  «М1» / «М1П»: </t>
    </r>
    <r>
      <rPr>
        <sz val="12"/>
        <color theme="1"/>
        <rFont val="Times New Roman"/>
        <family val="1"/>
        <charset val="204"/>
      </rPr>
      <t xml:space="preserve">
— HH1≥50 + (0,5хLпоплавка)
— НН1максимальный ≤ (Lмон-тажной части) - (1,5хLпоплавка+13) 
</t>
    </r>
    <r>
      <rPr>
        <b/>
        <sz val="12"/>
        <color theme="1"/>
        <rFont val="Times New Roman"/>
        <family val="1"/>
        <charset val="204"/>
      </rPr>
      <t>Для модификации  «М2»:</t>
    </r>
    <r>
      <rPr>
        <sz val="12"/>
        <color theme="1"/>
        <rFont val="Times New Roman"/>
        <family val="1"/>
        <charset val="204"/>
      </rPr>
      <t xml:space="preserve"> 
— HH1≥78
— НН1максимальный ≤ (Lмон-тажной части) - (1,5хLпоплавка+13)
</t>
    </r>
    <r>
      <rPr>
        <b/>
        <sz val="12"/>
        <color theme="1"/>
        <rFont val="Times New Roman"/>
        <family val="1"/>
        <charset val="204"/>
      </rPr>
      <t>Для модификации  «М3»:</t>
    </r>
    <r>
      <rPr>
        <sz val="12"/>
        <color theme="1"/>
        <rFont val="Times New Roman"/>
        <family val="1"/>
        <charset val="204"/>
      </rPr>
      <t xml:space="preserve">
— HH1≥60
— НН1максимальный ≤ (Lмон-тажной части) - 50
</t>
    </r>
  </si>
  <si>
    <r>
      <rPr>
        <b/>
        <sz val="12"/>
        <color theme="1"/>
        <rFont val="Times New Roman"/>
        <family val="1"/>
        <charset val="204"/>
      </rPr>
      <t>Для модификации  «М1» / «М1П»:</t>
    </r>
    <r>
      <rPr>
        <sz val="12"/>
        <color theme="1"/>
        <rFont val="Times New Roman"/>
        <family val="1"/>
        <charset val="204"/>
      </rPr>
      <t xml:space="preserve"> 
— HH2≥HH1+12+(2хLпоплавка)
</t>
    </r>
    <r>
      <rPr>
        <b/>
        <sz val="12"/>
        <color theme="1"/>
        <rFont val="Times New Roman"/>
        <family val="1"/>
        <charset val="204"/>
      </rPr>
      <t xml:space="preserve">Для модификации  «М2»: </t>
    </r>
    <r>
      <rPr>
        <sz val="12"/>
        <color theme="1"/>
        <rFont val="Times New Roman"/>
        <family val="1"/>
        <charset val="204"/>
      </rPr>
      <t xml:space="preserve">
— HH2≥HH1+124</t>
    </r>
  </si>
  <si>
    <r>
      <rPr>
        <b/>
        <sz val="12"/>
        <color theme="1"/>
        <rFont val="Times New Roman"/>
        <family val="1"/>
        <charset val="204"/>
      </rPr>
      <t xml:space="preserve">Для модификации  «М1» / «М1П»: </t>
    </r>
    <r>
      <rPr>
        <sz val="12"/>
        <color theme="1"/>
        <rFont val="Times New Roman"/>
        <family val="1"/>
        <charset val="204"/>
      </rPr>
      <t xml:space="preserve">
— HH3≥HH2+12+(2хLпоплавка)</t>
    </r>
  </si>
  <si>
    <r>
      <rPr>
        <b/>
        <sz val="12"/>
        <color theme="1"/>
        <rFont val="Times New Roman"/>
        <family val="1"/>
        <charset val="204"/>
      </rPr>
      <t xml:space="preserve">Для модификации  «М1» / «М1П»: </t>
    </r>
    <r>
      <rPr>
        <sz val="12"/>
        <color theme="1"/>
        <rFont val="Times New Roman"/>
        <family val="1"/>
        <charset val="204"/>
      </rPr>
      <t xml:space="preserve">
— HL3</t>
    </r>
    <r>
      <rPr>
        <b/>
        <sz val="12"/>
        <color theme="1"/>
        <rFont val="Times New Roman"/>
        <family val="1"/>
        <charset val="204"/>
      </rPr>
      <t xml:space="preserve">≥ </t>
    </r>
    <r>
      <rPr>
        <sz val="12"/>
        <color theme="1"/>
        <rFont val="Times New Roman"/>
        <family val="1"/>
        <charset val="204"/>
      </rPr>
      <t>HL2+12+(2хLпоплавка)
— Максимальный диапазон сигнализации опорожнения:
 HL3 ≤Lмонтажной части – (0,5хLпоплавка+12)</t>
    </r>
  </si>
  <si>
    <r>
      <rPr>
        <b/>
        <sz val="12"/>
        <color theme="1"/>
        <rFont val="Times New Roman"/>
        <family val="1"/>
        <charset val="204"/>
      </rPr>
      <t xml:space="preserve">Для модификации  «М1» / «М1П»: </t>
    </r>
    <r>
      <rPr>
        <sz val="12"/>
        <color theme="1"/>
        <rFont val="Times New Roman"/>
        <family val="1"/>
        <charset val="204"/>
      </rPr>
      <t xml:space="preserve">
— HL4</t>
    </r>
    <r>
      <rPr>
        <b/>
        <sz val="12"/>
        <color theme="1"/>
        <rFont val="Times New Roman"/>
        <family val="1"/>
        <charset val="204"/>
      </rPr>
      <t xml:space="preserve">≥ </t>
    </r>
    <r>
      <rPr>
        <sz val="12"/>
        <color theme="1"/>
        <rFont val="Times New Roman"/>
        <family val="1"/>
        <charset val="204"/>
      </rPr>
      <t>HL3+12+(2хLпоплавка)
— Максимальный диапазон сигнализации опорожнения:
 HL4 ≤Lмонтажной части – (0,5хLпоплавка+12)</t>
    </r>
  </si>
  <si>
    <r>
      <rPr>
        <b/>
        <sz val="12"/>
        <color theme="1"/>
        <rFont val="Times New Roman"/>
        <family val="1"/>
        <charset val="204"/>
      </rPr>
      <t xml:space="preserve">Для модификации  «М1» / «М1П»: 
</t>
    </r>
    <r>
      <rPr>
        <sz val="12"/>
        <color theme="1"/>
        <rFont val="Times New Roman"/>
        <family val="1"/>
        <charset val="204"/>
      </rPr>
      <t>— HL5</t>
    </r>
    <r>
      <rPr>
        <b/>
        <sz val="12"/>
        <color theme="1"/>
        <rFont val="Times New Roman"/>
        <family val="1"/>
        <charset val="204"/>
      </rPr>
      <t xml:space="preserve">≥ </t>
    </r>
    <r>
      <rPr>
        <sz val="12"/>
        <color theme="1"/>
        <rFont val="Times New Roman"/>
        <family val="1"/>
        <charset val="204"/>
      </rPr>
      <t>HL4+12+(2хLпоплавка)
— Максимальный диапазон сигнализации опорожнения:
 HL5 ≤Lмонтажной части – (0,5хLпоплавка+12)</t>
    </r>
  </si>
  <si>
    <r>
      <rPr>
        <b/>
        <sz val="12"/>
        <color theme="1"/>
        <rFont val="Times New Roman"/>
        <family val="1"/>
        <charset val="204"/>
      </rPr>
      <t xml:space="preserve">Для модификации  «М1» / «М1П»: </t>
    </r>
    <r>
      <rPr>
        <sz val="12"/>
        <color theme="1"/>
        <rFont val="Times New Roman"/>
        <family val="1"/>
        <charset val="204"/>
      </rPr>
      <t xml:space="preserve">
— HH4≥ HH3+12+(2хLпоплавка)</t>
    </r>
  </si>
  <si>
    <r>
      <rPr>
        <b/>
        <sz val="12"/>
        <color theme="1"/>
        <rFont val="Times New Roman"/>
        <family val="1"/>
        <charset val="204"/>
      </rPr>
      <t xml:space="preserve">Для модификации  «М1» / «М1П»: </t>
    </r>
    <r>
      <rPr>
        <sz val="12"/>
        <color theme="1"/>
        <rFont val="Times New Roman"/>
        <family val="1"/>
        <charset val="204"/>
      </rPr>
      <t xml:space="preserve">
— HH5≥ HH4+12+(2хLпоплавка)</t>
    </r>
  </si>
  <si>
    <t>п.3 Для всех исполнений</t>
  </si>
  <si>
    <t xml:space="preserve">п.10 Код типа присоединения к процессу :  «1М20» </t>
  </si>
  <si>
    <t xml:space="preserve">п.10 Код типа присоединения к процессу :  «1М272» </t>
  </si>
  <si>
    <t xml:space="preserve">п.10 Код типа присоединения к процессу :  «1М33» </t>
  </si>
  <si>
    <t xml:space="preserve">п.10 Код типа присоединения к процессу :  «1G34» </t>
  </si>
  <si>
    <t xml:space="preserve">п.10 Код типа присоединения к процессу :  «1G10» </t>
  </si>
  <si>
    <t xml:space="preserve">п.7 Код модификации монтажной части: «М3» </t>
  </si>
  <si>
    <t xml:space="preserve">п.7 Код модификации монтажной части: «М2» </t>
  </si>
  <si>
    <t>п.7 Код модификации монтажной части: «М4»</t>
  </si>
  <si>
    <t>12. Код исполнения конструктива поплавка
 (таблица 5)</t>
  </si>
  <si>
    <t>Минимум</t>
  </si>
  <si>
    <t>Максимум</t>
  </si>
  <si>
    <t>L поплавка</t>
  </si>
  <si>
    <t>9. Уровень сигнализации, мм: (таблица 2)</t>
  </si>
  <si>
    <t>HL</t>
  </si>
  <si>
    <t>HH</t>
  </si>
  <si>
    <t>п9_</t>
  </si>
  <si>
    <t>– поля с выпадающим списком</t>
  </si>
  <si>
    <t>– поля с полем ввода значений</t>
  </si>
  <si>
    <t>Кол-во уровней</t>
  </si>
  <si>
    <t>для модификации «М4», горизонтальный монтаж с наружной резьбой G2”</t>
  </si>
  <si>
    <t>для модификации «М4», горизонтальный монтаж с фланцевым присоединением, таблица 3.2, приложение 1</t>
  </si>
  <si>
    <t>«М1», «М1П», «М2», «М3», «М4»</t>
  </si>
  <si>
    <t>Возможноые коды</t>
  </si>
  <si>
    <t>Фото</t>
  </si>
  <si>
    <t xml:space="preserve">Модель </t>
  </si>
  <si>
    <t>Выбор</t>
  </si>
  <si>
    <t>п.3 Для исполнений:
—  общепромышленное «—»
— С видом взрывозащиты «Ex — искробезопасная эл. цепь i» — «ЕхiaIIAT5»
— С видом взрывозащиты «Ex — искробезопасная эл. цепь i» — «ЕхiaIIBT5», «»,</t>
  </si>
  <si>
    <t>Список доступных кодов</t>
  </si>
  <si>
    <t>Проверка2</t>
  </si>
  <si>
    <t>ВЫБОР ТОЛЬКО ИСТИННЫХ ВАРИАНТОВ</t>
  </si>
  <si>
    <t>п.10 Код типа присоединения к процессу :  «1G12», «D15»</t>
  </si>
  <si>
    <t>п.10 Код типа присоединения к процессу :  «1G34», «D16»</t>
  </si>
  <si>
    <t>п.10 Код типа присоединения к процессу :  «1G10», «D17»</t>
  </si>
  <si>
    <t>5. Код исполнения  корпуса</t>
  </si>
  <si>
    <t>5. Код исполнения корпуса</t>
  </si>
  <si>
    <t>АГ24</t>
  </si>
  <si>
    <t>НГ24</t>
  </si>
  <si>
    <t>АГ22</t>
  </si>
  <si>
    <t>для АГ22 не более 3 уровней</t>
  </si>
  <si>
    <t>RN</t>
  </si>
  <si>
    <t xml:space="preserve">штуцер с наружной резьбой М27х1,5, для модификаций: </t>
  </si>
  <si>
    <t>1М27</t>
  </si>
  <si>
    <t>БП1-М271-12</t>
  </si>
  <si>
    <t>БП1-М271-20</t>
  </si>
  <si>
    <t>бобышка М27×1,5, нержавеющая сталь 12Х18Н10Т</t>
  </si>
  <si>
    <t>бобышка М27×1,5, сталь 20</t>
  </si>
  <si>
    <t>Только для «АГ24», «НГ24»</t>
  </si>
  <si>
    <t>Только для «АГ22»</t>
  </si>
  <si>
    <t>Проверка условий</t>
  </si>
  <si>
    <t>Ограничения</t>
  </si>
  <si>
    <t>Ограничение1</t>
  </si>
  <si>
    <t>Ограничение2</t>
  </si>
  <si>
    <t>Ограничение3</t>
  </si>
  <si>
    <t>для «АГ24», «НГ24»</t>
  </si>
  <si>
    <t>для «АГ24», «НГ24», «АГ22»</t>
  </si>
  <si>
    <t>Ограничения1</t>
  </si>
  <si>
    <t>«51»</t>
  </si>
  <si>
    <t>«51», «52»</t>
  </si>
  <si>
    <t>Ограничение</t>
  </si>
  <si>
    <t xml:space="preserve">п.10 Код типа присоединения к процессу :  «1М27» </t>
  </si>
  <si>
    <t>Только для «АГ22», «АГ24», «НГ22»</t>
  </si>
  <si>
    <t>Модификация</t>
  </si>
  <si>
    <t>«М1», «М1П»,«М2», «М3»,«М4»</t>
  </si>
  <si>
    <t>«М1», «М1П»</t>
  </si>
  <si>
    <r>
      <rPr>
        <sz val="14"/>
        <color theme="1"/>
        <rFont val="Arial"/>
        <family val="2"/>
        <charset val="204"/>
      </rPr>
      <t xml:space="preserve">Конфигуратор для выбора поплавкового сигнализатора уровня жидких сред </t>
    </r>
    <r>
      <rPr>
        <b/>
        <sz val="14"/>
        <color theme="1"/>
        <rFont val="Arial"/>
        <family val="2"/>
        <charset val="204"/>
      </rPr>
      <t>ЭЛЕМЕР-СПГ-51(52)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</si>
  <si>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zakaz@gazoanalit.ru</t>
  </si>
  <si>
    <t>Заявки направлять по электронному адресу: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</si>
</sst>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4" tint="-0.49998474074526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20"/>
      <color rgb="FFFF0000"/>
      <name val="Antique Olive Roman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15">
    <xf numFmtId="0" fontId="0" fillId="0" borderId="0" xfId="0"/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0" fillId="0" borderId="0" xfId="0" applyBorder="1"/>
    <xf numFmtId="0" fontId="4" fillId="0" borderId="0" xfId="0" applyFont="1" applyFill="1" applyBorder="1"/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0" fontId="10" fillId="0" borderId="0" xfId="0" applyFont="1" applyAlignment="1">
      <alignment horizontal="right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center" wrapText="1"/>
    </xf>
    <xf numFmtId="0" fontId="0" fillId="3" borderId="0" xfId="0" applyFill="1"/>
    <xf numFmtId="0" fontId="0" fillId="0" borderId="5" xfId="0" applyBorder="1"/>
    <xf numFmtId="0" fontId="0" fillId="0" borderId="7" xfId="0" applyBorder="1"/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4" xfId="0" applyBorder="1"/>
    <xf numFmtId="0" fontId="0" fillId="0" borderId="8" xfId="0" applyBorder="1"/>
    <xf numFmtId="0" fontId="0" fillId="0" borderId="3" xfId="0" applyBorder="1"/>
    <xf numFmtId="0" fontId="4" fillId="0" borderId="9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0" fillId="3" borderId="6" xfId="0" applyFill="1" applyBorder="1"/>
    <xf numFmtId="0" fontId="4" fillId="0" borderId="1" xfId="0" applyFont="1" applyFill="1" applyBorder="1" applyAlignment="1">
      <alignment vertical="center" wrapText="1"/>
    </xf>
    <xf numFmtId="0" fontId="0" fillId="0" borderId="10" xfId="0" applyBorder="1"/>
    <xf numFmtId="0" fontId="0" fillId="3" borderId="10" xfId="0" applyFill="1" applyBorder="1"/>
    <xf numFmtId="0" fontId="0" fillId="3" borderId="11" xfId="0" applyFill="1" applyBorder="1"/>
    <xf numFmtId="0" fontId="0" fillId="0" borderId="0" xfId="0" applyFill="1" applyBorder="1" applyAlignment="1">
      <alignment horizontal="left" vertical="center" wrapText="1" indent="2"/>
    </xf>
    <xf numFmtId="0" fontId="0" fillId="5" borderId="0" xfId="0" applyFill="1"/>
    <xf numFmtId="0" fontId="0" fillId="0" borderId="0" xfId="0" quotePrefix="1"/>
    <xf numFmtId="0" fontId="0" fillId="4" borderId="0" xfId="0" applyFill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0" borderId="0" xfId="0" applyFill="1" applyBorder="1" applyAlignment="1">
      <alignment horizontal="left" vertical="center" wrapText="1" indent="2"/>
    </xf>
    <xf numFmtId="0" fontId="0" fillId="0" borderId="0" xfId="0" applyAlignment="1">
      <alignment horizontal="right"/>
    </xf>
    <xf numFmtId="0" fontId="14" fillId="0" borderId="0" xfId="1"/>
    <xf numFmtId="0" fontId="0" fillId="5" borderId="12" xfId="0" applyFill="1" applyBorder="1" applyAlignment="1" applyProtection="1">
      <alignment horizontal="center" vertical="center" wrapText="1"/>
      <protection locked="0" hidden="1"/>
    </xf>
    <xf numFmtId="0" fontId="0" fillId="0" borderId="12" xfId="0" applyFill="1" applyBorder="1" applyAlignment="1">
      <alignment horizontal="center" vertical="center" wrapText="1"/>
    </xf>
    <xf numFmtId="0" fontId="0" fillId="4" borderId="12" xfId="0" applyFill="1" applyBorder="1" applyAlignment="1" applyProtection="1">
      <alignment horizontal="left" vertical="center" wrapText="1" indent="2"/>
      <protection locked="0" hidden="1"/>
    </xf>
    <xf numFmtId="0" fontId="0" fillId="0" borderId="12" xfId="0" applyFill="1" applyBorder="1" applyAlignment="1">
      <alignment horizontal="left" vertical="center" wrapText="1" indent="2"/>
    </xf>
    <xf numFmtId="0" fontId="0" fillId="5" borderId="12" xfId="0" applyFill="1" applyBorder="1" applyAlignment="1" applyProtection="1">
      <alignment horizontal="left" vertical="center" wrapText="1" indent="2"/>
      <protection locked="0" hidden="1"/>
    </xf>
    <xf numFmtId="0" fontId="0" fillId="5" borderId="18" xfId="0" applyFill="1" applyBorder="1" applyAlignment="1" applyProtection="1">
      <alignment horizontal="left" vertical="center" wrapText="1" indent="2"/>
      <protection locked="0" hidden="1"/>
    </xf>
    <xf numFmtId="0" fontId="0" fillId="0" borderId="18" xfId="0" applyFill="1" applyBorder="1" applyAlignment="1">
      <alignment horizontal="left" vertical="center" wrapText="1" indent="2"/>
    </xf>
    <xf numFmtId="0" fontId="15" fillId="0" borderId="0" xfId="0" applyFont="1" applyAlignment="1">
      <alignment horizontal="right"/>
    </xf>
    <xf numFmtId="0" fontId="0" fillId="4" borderId="12" xfId="0" applyFill="1" applyBorder="1" applyAlignment="1" applyProtection="1">
      <alignment horizontal="left" vertical="center" wrapText="1" indent="2"/>
      <protection locked="0" hidden="1"/>
    </xf>
    <xf numFmtId="0" fontId="0" fillId="6" borderId="0" xfId="0" applyFill="1"/>
    <xf numFmtId="0" fontId="4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3" borderId="0" xfId="0" applyFill="1" applyAlignment="1">
      <alignment wrapText="1"/>
    </xf>
    <xf numFmtId="0" fontId="0" fillId="3" borderId="6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4" fillId="0" borderId="27" xfId="0" applyFont="1" applyFill="1" applyBorder="1"/>
    <xf numFmtId="0" fontId="4" fillId="7" borderId="1" xfId="0" applyFont="1" applyFill="1" applyBorder="1" applyAlignment="1">
      <alignment wrapText="1"/>
    </xf>
    <xf numFmtId="0" fontId="4" fillId="7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9" fillId="0" borderId="12" xfId="0" applyFont="1" applyFill="1" applyBorder="1" applyAlignment="1">
      <alignment horizontal="left" vertical="center" wrapText="1" indent="2"/>
    </xf>
    <xf numFmtId="0" fontId="0" fillId="5" borderId="12" xfId="0" applyFill="1" applyBorder="1" applyAlignment="1" applyProtection="1">
      <alignment horizontal="left" vertical="center" wrapText="1" indent="2"/>
      <protection locked="0" hidden="1"/>
    </xf>
    <xf numFmtId="0" fontId="0" fillId="0" borderId="12" xfId="0" applyFill="1" applyBorder="1" applyAlignment="1">
      <alignment horizontal="left" vertical="center" wrapText="1" indent="2"/>
    </xf>
    <xf numFmtId="0" fontId="0" fillId="0" borderId="19" xfId="0" applyFill="1" applyBorder="1" applyAlignment="1">
      <alignment horizontal="left" vertical="center" wrapText="1" indent="2"/>
    </xf>
    <xf numFmtId="0" fontId="0" fillId="0" borderId="20" xfId="0" applyFill="1" applyBorder="1" applyAlignment="1">
      <alignment horizontal="left" vertical="center" wrapText="1" indent="2"/>
    </xf>
    <xf numFmtId="0" fontId="0" fillId="0" borderId="21" xfId="0" applyFill="1" applyBorder="1" applyAlignment="1">
      <alignment horizontal="left" vertical="center" wrapText="1" indent="2"/>
    </xf>
    <xf numFmtId="0" fontId="0" fillId="0" borderId="22" xfId="0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left" vertical="center" wrapText="1" indent="2"/>
    </xf>
    <xf numFmtId="0" fontId="0" fillId="0" borderId="23" xfId="0" applyFill="1" applyBorder="1" applyAlignment="1">
      <alignment horizontal="left" vertical="center" wrapText="1" indent="2"/>
    </xf>
    <xf numFmtId="0" fontId="0" fillId="0" borderId="24" xfId="0" applyFill="1" applyBorder="1" applyAlignment="1">
      <alignment horizontal="left" vertical="center" wrapText="1" indent="2"/>
    </xf>
    <xf numFmtId="0" fontId="0" fillId="0" borderId="25" xfId="0" applyFill="1" applyBorder="1" applyAlignment="1">
      <alignment horizontal="left" vertical="center" wrapText="1" indent="2"/>
    </xf>
    <xf numFmtId="0" fontId="0" fillId="0" borderId="26" xfId="0" applyFill="1" applyBorder="1" applyAlignment="1">
      <alignment horizontal="left" vertical="center" wrapText="1" indent="2"/>
    </xf>
    <xf numFmtId="0" fontId="0" fillId="0" borderId="12" xfId="0" applyFill="1" applyBorder="1"/>
    <xf numFmtId="0" fontId="8" fillId="2" borderId="17" xfId="0" applyFont="1" applyFill="1" applyBorder="1" applyAlignment="1">
      <alignment horizontal="left" vertical="center" indent="2"/>
    </xf>
    <xf numFmtId="0" fontId="8" fillId="2" borderId="14" xfId="0" applyFont="1" applyFill="1" applyBorder="1" applyAlignment="1">
      <alignment horizontal="left" vertical="center" indent="2"/>
    </xf>
    <xf numFmtId="0" fontId="8" fillId="2" borderId="13" xfId="0" applyFont="1" applyFill="1" applyBorder="1" applyAlignment="1">
      <alignment horizontal="left" vertical="center" indent="2"/>
    </xf>
    <xf numFmtId="0" fontId="8" fillId="2" borderId="16" xfId="0" applyFont="1" applyFill="1" applyBorder="1" applyAlignment="1">
      <alignment horizontal="left" vertical="center" indent="2"/>
    </xf>
    <xf numFmtId="0" fontId="0" fillId="0" borderId="13" xfId="0" applyFill="1" applyBorder="1" applyAlignment="1">
      <alignment horizontal="left" vertical="center" wrapText="1" indent="2"/>
    </xf>
    <xf numFmtId="0" fontId="0" fillId="0" borderId="14" xfId="0" applyFill="1" applyBorder="1" applyAlignment="1">
      <alignment horizontal="left" vertical="center" wrapText="1" indent="2"/>
    </xf>
    <xf numFmtId="0" fontId="0" fillId="0" borderId="16" xfId="0" applyFill="1" applyBorder="1" applyAlignment="1">
      <alignment horizontal="left" vertical="center" wrapText="1" indent="2"/>
    </xf>
    <xf numFmtId="0" fontId="8" fillId="2" borderId="12" xfId="0" applyFont="1" applyFill="1" applyBorder="1" applyAlignment="1">
      <alignment horizontal="left" vertical="center" indent="2"/>
    </xf>
    <xf numFmtId="0" fontId="0" fillId="4" borderId="12" xfId="0" applyFill="1" applyBorder="1" applyAlignment="1" applyProtection="1">
      <alignment horizontal="left" vertical="center" wrapText="1" indent="2"/>
      <protection locked="0" hidden="1"/>
    </xf>
    <xf numFmtId="0" fontId="13" fillId="0" borderId="0" xfId="0" applyFont="1" applyProtection="1">
      <protection hidden="1"/>
    </xf>
    <xf numFmtId="0" fontId="8" fillId="2" borderId="14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0" xfId="0" applyFont="1" applyAlignment="1">
      <alignment horizontal="left" wrapText="1"/>
    </xf>
    <xf numFmtId="0" fontId="0" fillId="0" borderId="0" xfId="0" applyFill="1"/>
    <xf numFmtId="0" fontId="19" fillId="0" borderId="0" xfId="1" applyFont="1"/>
  </cellXfs>
  <cellStyles count="2">
    <cellStyle name="Гиперссылка" xfId="1" builtinId="8"/>
    <cellStyle name="Обычный" xfId="0" builtinId="0"/>
  </cellStyles>
  <dxfs count="24">
    <dxf>
      <fill>
        <patternFill>
          <bgColor rgb="FF66FF66"/>
        </patternFill>
      </fill>
    </dxf>
    <dxf>
      <fill>
        <patternFill>
          <bgColor rgb="FFFF7C80"/>
        </patternFill>
      </fill>
    </dxf>
    <dxf>
      <fill>
        <patternFill>
          <bgColor rgb="FF66FF66"/>
        </patternFill>
      </fill>
    </dxf>
    <dxf>
      <fill>
        <patternFill>
          <bgColor rgb="FFFF7C80"/>
        </patternFill>
      </fill>
    </dxf>
    <dxf>
      <fill>
        <patternFill>
          <bgColor rgb="FF66FF66"/>
        </patternFill>
      </fill>
    </dxf>
    <dxf>
      <fill>
        <patternFill>
          <bgColor rgb="FFFF7C80"/>
        </patternFill>
      </fill>
    </dxf>
    <dxf>
      <fill>
        <patternFill>
          <bgColor rgb="FF66FF66"/>
        </patternFill>
      </fill>
    </dxf>
    <dxf>
      <fill>
        <patternFill>
          <bgColor rgb="FFFF7C80"/>
        </patternFill>
      </fill>
    </dxf>
    <dxf>
      <fill>
        <patternFill>
          <bgColor rgb="FF66FF66"/>
        </patternFill>
      </fill>
    </dxf>
    <dxf>
      <fill>
        <patternFill>
          <bgColor rgb="FFFF7C80"/>
        </patternFill>
      </fill>
    </dxf>
    <dxf>
      <fill>
        <patternFill>
          <bgColor rgb="FF66FF66"/>
        </patternFill>
      </fill>
    </dxf>
    <dxf>
      <fill>
        <patternFill>
          <bgColor rgb="FFFF7C80"/>
        </patternFill>
      </fill>
    </dxf>
    <dxf>
      <fill>
        <patternFill>
          <bgColor rgb="FF66FF66"/>
        </patternFill>
      </fill>
    </dxf>
    <dxf>
      <fill>
        <patternFill>
          <bgColor rgb="FFFF7C80"/>
        </patternFill>
      </fill>
    </dxf>
    <dxf>
      <fill>
        <patternFill>
          <bgColor rgb="FF66FF66"/>
        </patternFill>
      </fill>
    </dxf>
    <dxf>
      <fill>
        <patternFill>
          <bgColor rgb="FFFF7C80"/>
        </patternFill>
      </fill>
    </dxf>
    <dxf>
      <fill>
        <patternFill>
          <bgColor rgb="FF66FF66"/>
        </patternFill>
      </fill>
    </dxf>
    <dxf>
      <fill>
        <patternFill>
          <bgColor rgb="FFFF7C80"/>
        </patternFill>
      </fill>
    </dxf>
    <dxf>
      <fill>
        <patternFill>
          <bgColor rgb="FF66FF66"/>
        </patternFill>
      </fill>
    </dxf>
    <dxf>
      <fill>
        <patternFill>
          <bgColor rgb="FFFF7C80"/>
        </patternFill>
      </fill>
    </dxf>
    <dxf>
      <fill>
        <patternFill>
          <bgColor rgb="FF66FF66"/>
        </patternFill>
      </fill>
    </dxf>
    <dxf>
      <fill>
        <patternFill>
          <bgColor rgb="FFFF7C80"/>
        </patternFill>
      </fill>
    </dxf>
    <dxf>
      <fill>
        <patternFill>
          <bgColor rgb="FF66FF66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FFCC"/>
      <color rgb="FFCCFFFF"/>
      <color rgb="FFCCFFCC"/>
      <color rgb="FFFF7C80"/>
      <color rgb="FF99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069;&#1051;&#1045;&#1052;&#1045;&#1056;-&#1057;&#1055;&#1043;'!O16"/><Relationship Id="rId13" Type="http://schemas.openxmlformats.org/officeDocument/2006/relationships/hyperlink" Target="#'&#1069;&#1051;&#1045;&#1052;&#1045;&#1056;-&#1057;&#1055;&#1043;'!O21"/><Relationship Id="rId18" Type="http://schemas.openxmlformats.org/officeDocument/2006/relationships/hyperlink" Target="#'&#1069;&#1051;&#1045;&#1052;&#1045;&#1056;-&#1057;&#1055;&#1043;'!O26"/><Relationship Id="rId3" Type="http://schemas.openxmlformats.org/officeDocument/2006/relationships/hyperlink" Target="#'&#1069;&#1051;&#1045;&#1052;&#1045;&#1056;-&#1057;&#1055;&#1043;'!O9"/><Relationship Id="rId7" Type="http://schemas.openxmlformats.org/officeDocument/2006/relationships/hyperlink" Target="#'&#1069;&#1051;&#1045;&#1052;&#1045;&#1056;-&#1057;&#1055;&#1043;'!O15"/><Relationship Id="rId12" Type="http://schemas.openxmlformats.org/officeDocument/2006/relationships/hyperlink" Target="#'&#1069;&#1051;&#1045;&#1052;&#1045;&#1056;-&#1057;&#1055;&#1043;'!O20"/><Relationship Id="rId17" Type="http://schemas.openxmlformats.org/officeDocument/2006/relationships/hyperlink" Target="#'&#1069;&#1051;&#1045;&#1052;&#1045;&#1056;-&#1057;&#1055;&#1043;'!O25"/><Relationship Id="rId2" Type="http://schemas.openxmlformats.org/officeDocument/2006/relationships/image" Target="../media/image1.png"/><Relationship Id="rId16" Type="http://schemas.openxmlformats.org/officeDocument/2006/relationships/hyperlink" Target="#'&#1069;&#1051;&#1045;&#1052;&#1045;&#1056;-&#1057;&#1055;&#1043;'!O24"/><Relationship Id="rId20" Type="http://schemas.openxmlformats.org/officeDocument/2006/relationships/image" Target="../media/image2.emf"/><Relationship Id="rId1" Type="http://schemas.openxmlformats.org/officeDocument/2006/relationships/hyperlink" Target="#'&#1069;&#1051;&#1045;&#1052;&#1045;&#1056;-&#1057;&#1055;&#1043;'!O8"/><Relationship Id="rId6" Type="http://schemas.openxmlformats.org/officeDocument/2006/relationships/hyperlink" Target="#'&#1069;&#1051;&#1045;&#1052;&#1045;&#1056;-&#1057;&#1055;&#1043;'!O13"/><Relationship Id="rId11" Type="http://schemas.openxmlformats.org/officeDocument/2006/relationships/hyperlink" Target="#'&#1069;&#1051;&#1045;&#1052;&#1045;&#1056;-&#1057;&#1055;&#1043;'!O19"/><Relationship Id="rId5" Type="http://schemas.openxmlformats.org/officeDocument/2006/relationships/hyperlink" Target="#'&#1069;&#1051;&#1045;&#1052;&#1045;&#1056;-&#1057;&#1055;&#1043;'!O12"/><Relationship Id="rId15" Type="http://schemas.openxmlformats.org/officeDocument/2006/relationships/hyperlink" Target="#'&#1069;&#1051;&#1045;&#1052;&#1045;&#1056;-&#1057;&#1055;&#1043;'!O23"/><Relationship Id="rId10" Type="http://schemas.openxmlformats.org/officeDocument/2006/relationships/hyperlink" Target="#'&#1069;&#1051;&#1045;&#1052;&#1045;&#1056;-&#1057;&#1055;&#1043;'!O18"/><Relationship Id="rId19" Type="http://schemas.openxmlformats.org/officeDocument/2006/relationships/hyperlink" Target="#'&#1069;&#1051;&#1045;&#1052;&#1045;&#1056;-&#1057;&#1055;&#1043;'!O27"/><Relationship Id="rId4" Type="http://schemas.openxmlformats.org/officeDocument/2006/relationships/hyperlink" Target="#'&#1069;&#1051;&#1045;&#1052;&#1045;&#1056;-&#1057;&#1055;&#1043;'!O11"/><Relationship Id="rId9" Type="http://schemas.openxmlformats.org/officeDocument/2006/relationships/hyperlink" Target="#'&#1069;&#1051;&#1045;&#1052;&#1045;&#1056;-&#1057;&#1055;&#1043;'!O17"/><Relationship Id="rId14" Type="http://schemas.openxmlformats.org/officeDocument/2006/relationships/hyperlink" Target="#'&#1069;&#1051;&#1045;&#1052;&#1045;&#1056;-&#1057;&#1055;&#1043;'!O22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94455</xdr:colOff>
      <xdr:row>7</xdr:row>
      <xdr:rowOff>205740</xdr:rowOff>
    </xdr:from>
    <xdr:to>
      <xdr:col>18</xdr:col>
      <xdr:colOff>250684</xdr:colOff>
      <xdr:row>8</xdr:row>
      <xdr:rowOff>2932</xdr:rowOff>
    </xdr:to>
    <xdr:pic>
      <xdr:nvPicPr>
        <xdr:cNvPr id="20" name="Рисунок 19" hidden="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6449" y="2352675"/>
          <a:ext cx="165754" cy="162000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8</xdr:row>
      <xdr:rowOff>205740</xdr:rowOff>
    </xdr:from>
    <xdr:to>
      <xdr:col>18</xdr:col>
      <xdr:colOff>250011</xdr:colOff>
      <xdr:row>9</xdr:row>
      <xdr:rowOff>18078</xdr:rowOff>
    </xdr:to>
    <xdr:pic>
      <xdr:nvPicPr>
        <xdr:cNvPr id="21" name="Рисунок 20" hidden="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2724150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10</xdr:row>
      <xdr:rowOff>205740</xdr:rowOff>
    </xdr:from>
    <xdr:to>
      <xdr:col>18</xdr:col>
      <xdr:colOff>250011</xdr:colOff>
      <xdr:row>11</xdr:row>
      <xdr:rowOff>18078</xdr:rowOff>
    </xdr:to>
    <xdr:pic>
      <xdr:nvPicPr>
        <xdr:cNvPr id="22" name="Рисунок 21" hidden="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3467100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11</xdr:row>
      <xdr:rowOff>205740</xdr:rowOff>
    </xdr:from>
    <xdr:to>
      <xdr:col>18</xdr:col>
      <xdr:colOff>250011</xdr:colOff>
      <xdr:row>12</xdr:row>
      <xdr:rowOff>27602</xdr:rowOff>
    </xdr:to>
    <xdr:pic>
      <xdr:nvPicPr>
        <xdr:cNvPr id="23" name="Рисунок 22" hidden="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3838575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12</xdr:row>
      <xdr:rowOff>211455</xdr:rowOff>
    </xdr:from>
    <xdr:to>
      <xdr:col>18</xdr:col>
      <xdr:colOff>250011</xdr:colOff>
      <xdr:row>13</xdr:row>
      <xdr:rowOff>19983</xdr:rowOff>
    </xdr:to>
    <xdr:pic>
      <xdr:nvPicPr>
        <xdr:cNvPr id="24" name="Рисунок 23" hidden="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4210050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14</xdr:col>
      <xdr:colOff>91440</xdr:colOff>
      <xdr:row>14</xdr:row>
      <xdr:rowOff>209550</xdr:rowOff>
    </xdr:from>
    <xdr:to>
      <xdr:col>14</xdr:col>
      <xdr:colOff>251440</xdr:colOff>
      <xdr:row>15</xdr:row>
      <xdr:rowOff>16172</xdr:rowOff>
    </xdr:to>
    <xdr:pic>
      <xdr:nvPicPr>
        <xdr:cNvPr id="25" name="Рисунок 24" hidden="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7875" y="5153025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14</xdr:col>
      <xdr:colOff>91440</xdr:colOff>
      <xdr:row>15</xdr:row>
      <xdr:rowOff>205740</xdr:rowOff>
    </xdr:from>
    <xdr:to>
      <xdr:col>14</xdr:col>
      <xdr:colOff>251440</xdr:colOff>
      <xdr:row>16</xdr:row>
      <xdr:rowOff>18078</xdr:rowOff>
    </xdr:to>
    <xdr:pic>
      <xdr:nvPicPr>
        <xdr:cNvPr id="26" name="Рисунок 25" hidden="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7875" y="5524500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14</xdr:col>
      <xdr:colOff>91440</xdr:colOff>
      <xdr:row>16</xdr:row>
      <xdr:rowOff>205740</xdr:rowOff>
    </xdr:from>
    <xdr:to>
      <xdr:col>14</xdr:col>
      <xdr:colOff>251440</xdr:colOff>
      <xdr:row>17</xdr:row>
      <xdr:rowOff>18077</xdr:rowOff>
    </xdr:to>
    <xdr:pic>
      <xdr:nvPicPr>
        <xdr:cNvPr id="27" name="Рисунок 26" hidden="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7875" y="5895975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14</xdr:col>
      <xdr:colOff>91440</xdr:colOff>
      <xdr:row>17</xdr:row>
      <xdr:rowOff>205740</xdr:rowOff>
    </xdr:from>
    <xdr:to>
      <xdr:col>14</xdr:col>
      <xdr:colOff>251440</xdr:colOff>
      <xdr:row>18</xdr:row>
      <xdr:rowOff>18078</xdr:rowOff>
    </xdr:to>
    <xdr:pic>
      <xdr:nvPicPr>
        <xdr:cNvPr id="28" name="Рисунок 27" hidden="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7875" y="6267450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14</xdr:col>
      <xdr:colOff>91440</xdr:colOff>
      <xdr:row>18</xdr:row>
      <xdr:rowOff>205740</xdr:rowOff>
    </xdr:from>
    <xdr:to>
      <xdr:col>14</xdr:col>
      <xdr:colOff>251440</xdr:colOff>
      <xdr:row>19</xdr:row>
      <xdr:rowOff>18077</xdr:rowOff>
    </xdr:to>
    <xdr:pic>
      <xdr:nvPicPr>
        <xdr:cNvPr id="29" name="Рисунок 28" hidden="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7875" y="6638925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19</xdr:row>
      <xdr:rowOff>205740</xdr:rowOff>
    </xdr:from>
    <xdr:to>
      <xdr:col>18</xdr:col>
      <xdr:colOff>250011</xdr:colOff>
      <xdr:row>20</xdr:row>
      <xdr:rowOff>18078</xdr:rowOff>
    </xdr:to>
    <xdr:pic>
      <xdr:nvPicPr>
        <xdr:cNvPr id="35" name="Рисунок 34" hidden="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7010400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20</xdr:row>
      <xdr:rowOff>205740</xdr:rowOff>
    </xdr:from>
    <xdr:to>
      <xdr:col>18</xdr:col>
      <xdr:colOff>250011</xdr:colOff>
      <xdr:row>21</xdr:row>
      <xdr:rowOff>18712</xdr:rowOff>
    </xdr:to>
    <xdr:pic>
      <xdr:nvPicPr>
        <xdr:cNvPr id="36" name="Рисунок 35" hidden="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7381875"/>
          <a:ext cx="161905" cy="158730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21</xdr:row>
      <xdr:rowOff>205740</xdr:rowOff>
    </xdr:from>
    <xdr:to>
      <xdr:col>18</xdr:col>
      <xdr:colOff>250011</xdr:colOff>
      <xdr:row>22</xdr:row>
      <xdr:rowOff>27603</xdr:rowOff>
    </xdr:to>
    <xdr:pic>
      <xdr:nvPicPr>
        <xdr:cNvPr id="37" name="Рисунок 36" hidden="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7753350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22</xdr:row>
      <xdr:rowOff>205740</xdr:rowOff>
    </xdr:from>
    <xdr:to>
      <xdr:col>18</xdr:col>
      <xdr:colOff>250011</xdr:colOff>
      <xdr:row>23</xdr:row>
      <xdr:rowOff>19982</xdr:rowOff>
    </xdr:to>
    <xdr:pic>
      <xdr:nvPicPr>
        <xdr:cNvPr id="38" name="Рисунок 37" hidden="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8124825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23</xdr:row>
      <xdr:rowOff>205740</xdr:rowOff>
    </xdr:from>
    <xdr:to>
      <xdr:col>18</xdr:col>
      <xdr:colOff>250011</xdr:colOff>
      <xdr:row>23</xdr:row>
      <xdr:rowOff>358120</xdr:rowOff>
    </xdr:to>
    <xdr:pic>
      <xdr:nvPicPr>
        <xdr:cNvPr id="39" name="Рисунок 38" hidden="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8496300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24</xdr:row>
      <xdr:rowOff>84296</xdr:rowOff>
    </xdr:from>
    <xdr:to>
      <xdr:col>18</xdr:col>
      <xdr:colOff>250011</xdr:colOff>
      <xdr:row>24</xdr:row>
      <xdr:rowOff>246201</xdr:rowOff>
    </xdr:to>
    <xdr:pic>
      <xdr:nvPicPr>
        <xdr:cNvPr id="40" name="Рисунок 39" hidden="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8867775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25</xdr:row>
      <xdr:rowOff>99536</xdr:rowOff>
    </xdr:from>
    <xdr:to>
      <xdr:col>18</xdr:col>
      <xdr:colOff>250011</xdr:colOff>
      <xdr:row>25</xdr:row>
      <xdr:rowOff>238581</xdr:rowOff>
    </xdr:to>
    <xdr:pic>
      <xdr:nvPicPr>
        <xdr:cNvPr id="41" name="Рисунок 40" hidden="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9239250"/>
          <a:ext cx="161905" cy="161905"/>
        </a:xfrm>
        <a:prstGeom prst="rect">
          <a:avLst/>
        </a:prstGeom>
      </xdr:spPr>
    </xdr:pic>
    <xdr:clientData fPrintsWithSheet="0"/>
  </xdr:twoCellAnchor>
  <xdr:twoCellAnchor editAs="absolute">
    <xdr:from>
      <xdr:col>18</xdr:col>
      <xdr:colOff>97631</xdr:colOff>
      <xdr:row>26</xdr:row>
      <xdr:rowOff>99536</xdr:rowOff>
    </xdr:from>
    <xdr:to>
      <xdr:col>18</xdr:col>
      <xdr:colOff>250011</xdr:colOff>
      <xdr:row>26</xdr:row>
      <xdr:rowOff>238581</xdr:rowOff>
    </xdr:to>
    <xdr:pic>
      <xdr:nvPicPr>
        <xdr:cNvPr id="42" name="Рисунок 41" hidden="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9610725"/>
          <a:ext cx="161905" cy="161905"/>
        </a:xfrm>
        <a:prstGeom prst="rect">
          <a:avLst/>
        </a:prstGeom>
      </xdr:spPr>
    </xdr:pic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92869</xdr:colOff>
          <xdr:row>28</xdr:row>
          <xdr:rowOff>59055</xdr:rowOff>
        </xdr:from>
        <xdr:to>
          <xdr:col>16</xdr:col>
          <xdr:colOff>510541</xdr:colOff>
          <xdr:row>58</xdr:row>
          <xdr:rowOff>102646</xdr:rowOff>
        </xdr:to>
        <xdr:pic>
          <xdr:nvPicPr>
            <xdr:cNvPr id="32" name="Рисунок 3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фото" spid="_x0000_s1230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1219200" y="10163175"/>
              <a:ext cx="6400801" cy="577954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541973</xdr:colOff>
          <xdr:row>14</xdr:row>
          <xdr:rowOff>355283</xdr:rowOff>
        </xdr:from>
        <xdr:to>
          <xdr:col>9</xdr:col>
          <xdr:colOff>35753</xdr:colOff>
          <xdr:row>19</xdr:row>
          <xdr:rowOff>2857</xdr:rowOff>
        </xdr:to>
        <xdr:pic>
          <xdr:nvPicPr>
            <xdr:cNvPr id="31" name="Рисунок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фото" spid="_x0000_s1231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1133475" y="5324475"/>
              <a:ext cx="1624523" cy="1466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179296</xdr:colOff>
      <xdr:row>4</xdr:row>
      <xdr:rowOff>37031</xdr:rowOff>
    </xdr:from>
    <xdr:to>
      <xdr:col>3</xdr:col>
      <xdr:colOff>836288</xdr:colOff>
      <xdr:row>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4649" y="6245090"/>
          <a:ext cx="656992" cy="2876498"/>
        </a:xfrm>
        <a:prstGeom prst="rect">
          <a:avLst/>
        </a:prstGeom>
      </xdr:spPr>
    </xdr:pic>
    <xdr:clientData/>
  </xdr:twoCellAnchor>
  <xdr:twoCellAnchor editAs="oneCell">
    <xdr:from>
      <xdr:col>3</xdr:col>
      <xdr:colOff>179296</xdr:colOff>
      <xdr:row>2</xdr:row>
      <xdr:rowOff>0</xdr:rowOff>
    </xdr:from>
    <xdr:to>
      <xdr:col>3</xdr:col>
      <xdr:colOff>704819</xdr:colOff>
      <xdr:row>2</xdr:row>
      <xdr:rowOff>2880000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4649" y="381000"/>
          <a:ext cx="525523" cy="28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179297</xdr:colOff>
      <xdr:row>6</xdr:row>
      <xdr:rowOff>252620</xdr:rowOff>
    </xdr:from>
    <xdr:to>
      <xdr:col>3</xdr:col>
      <xdr:colOff>3059297</xdr:colOff>
      <xdr:row>6</xdr:row>
      <xdr:rowOff>1019733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51093" y="11231295"/>
          <a:ext cx="767113" cy="28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179296</xdr:colOff>
      <xdr:row>5</xdr:row>
      <xdr:rowOff>11206</xdr:rowOff>
    </xdr:from>
    <xdr:to>
      <xdr:col>3</xdr:col>
      <xdr:colOff>1017511</xdr:colOff>
      <xdr:row>5</xdr:row>
      <xdr:rowOff>2887704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4649" y="9132794"/>
          <a:ext cx="838215" cy="2876498"/>
        </a:xfrm>
        <a:prstGeom prst="rect">
          <a:avLst/>
        </a:prstGeom>
      </xdr:spPr>
    </xdr:pic>
    <xdr:clientData/>
  </xdr:twoCellAnchor>
  <xdr:twoCellAnchor editAs="oneCell">
    <xdr:from>
      <xdr:col>3</xdr:col>
      <xdr:colOff>179296</xdr:colOff>
      <xdr:row>3</xdr:row>
      <xdr:rowOff>0</xdr:rowOff>
    </xdr:from>
    <xdr:to>
      <xdr:col>3</xdr:col>
      <xdr:colOff>704819</xdr:colOff>
      <xdr:row>3</xdr:row>
      <xdr:rowOff>2880000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4649" y="3294529"/>
          <a:ext cx="525523" cy="28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az@gazoanalit.r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autoPageBreaks="0" fitToPage="1"/>
  </sheetPr>
  <dimension ref="A1:AG29"/>
  <sheetViews>
    <sheetView showGridLines="0" tabSelected="1" topLeftCell="F1" zoomScale="80" zoomScaleNormal="80" workbookViewId="0">
      <selection activeCell="AC14" sqref="AC14:AG14"/>
    </sheetView>
  </sheetViews>
  <sheetFormatPr defaultColWidth="9.109375" defaultRowHeight="14.4"/>
  <cols>
    <col min="1" max="5" width="9.109375" hidden="1" customWidth="1"/>
    <col min="6" max="6" width="9.109375" customWidth="1"/>
    <col min="7" max="7" width="7.88671875" customWidth="1"/>
    <col min="8" max="8" width="14.5546875" customWidth="1"/>
    <col min="9" max="15" width="9.109375" customWidth="1"/>
    <col min="16" max="16" width="11.109375" bestFit="1" customWidth="1"/>
    <col min="17" max="35" width="9.109375" customWidth="1"/>
  </cols>
  <sheetData>
    <row r="1" spans="1:33" ht="91.2" customHeight="1">
      <c r="H1" s="112" t="s">
        <v>335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33" ht="18">
      <c r="H2" s="108" t="str">
        <f>IFERROR(
H5&amp;"/ "&amp;I5&amp;"/ "&amp;J5&amp;"/ "&amp;K5&amp;"/ "&amp;L5&amp;"/ "&amp;M5&amp;"/ "&amp;N5&amp;"/ "&amp;O5&amp;"/ "&amp;P5&amp;"/ "&amp;Q5&amp;"/ "&amp;R5&amp;"/ "&amp;S5&amp;"/ "&amp;T5&amp;"/ "&amp;U5&amp;"/ "&amp;V5&amp;"/ "&amp;W5&amp;"/ "&amp;X5&amp;"/ "&amp;"","-")</f>
        <v xml:space="preserve">ЭЛЕМЕР- СПГ/ 51/ ЕхiaIIAT5/ —/ НГ24/ 1/ М1/ 3000/ HL1-300/ 1М27/ "02"/ 3/ —/ К-13/ R/ t4070/ 0,6/ 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</row>
    <row r="3" spans="1:33">
      <c r="X3" s="52"/>
      <c r="Y3" s="53" t="s">
        <v>287</v>
      </c>
      <c r="AC3" s="54"/>
      <c r="AD3" s="53" t="s">
        <v>288</v>
      </c>
    </row>
    <row r="4" spans="1:33" hidden="1">
      <c r="H4" s="23">
        <v>1</v>
      </c>
      <c r="I4" s="23">
        <v>2</v>
      </c>
      <c r="J4" s="23">
        <v>3</v>
      </c>
      <c r="K4" s="23">
        <v>4</v>
      </c>
      <c r="L4" s="23">
        <v>5</v>
      </c>
      <c r="M4" s="23">
        <v>6</v>
      </c>
      <c r="N4" s="23">
        <v>7</v>
      </c>
      <c r="O4" s="23">
        <v>8</v>
      </c>
      <c r="P4" s="23">
        <v>9</v>
      </c>
      <c r="Q4" s="23">
        <v>10</v>
      </c>
      <c r="R4" s="23">
        <v>11</v>
      </c>
      <c r="S4" s="23">
        <v>12</v>
      </c>
      <c r="T4" s="23">
        <v>13</v>
      </c>
      <c r="U4" s="23">
        <v>14</v>
      </c>
      <c r="V4" s="23">
        <v>15</v>
      </c>
      <c r="W4" s="23">
        <v>16</v>
      </c>
      <c r="X4" s="23">
        <v>17</v>
      </c>
      <c r="Y4" s="23">
        <v>18</v>
      </c>
    </row>
    <row r="5" spans="1:33" ht="73.5" hidden="1" customHeight="1">
      <c r="H5" s="24" t="s">
        <v>0</v>
      </c>
      <c r="I5" s="24">
        <f>$E$8</f>
        <v>51</v>
      </c>
      <c r="J5" s="24" t="str">
        <f>$E$9</f>
        <v>ЕхiaIIAT5</v>
      </c>
      <c r="K5" s="24" t="str">
        <f>$E$10</f>
        <v>—</v>
      </c>
      <c r="L5" s="24" t="str">
        <f>$E$11</f>
        <v>НГ24</v>
      </c>
      <c r="M5" s="24">
        <f>$E$12</f>
        <v>1</v>
      </c>
      <c r="N5" s="24" t="str">
        <f>$E$13</f>
        <v>М1</v>
      </c>
      <c r="O5" s="24">
        <f>$E$14</f>
        <v>3000</v>
      </c>
      <c r="P5" s="24" t="str">
        <f>$E$15&amp;$E$16&amp;$E$17&amp;$E$18&amp;$E$19</f>
        <v>HL1-300</v>
      </c>
      <c r="Q5" s="24" t="str">
        <f>E20</f>
        <v>1М27</v>
      </c>
      <c r="R5" s="24" t="str">
        <f>$E$21</f>
        <v>"02"</v>
      </c>
      <c r="S5" s="24">
        <f>$E$22</f>
        <v>3</v>
      </c>
      <c r="T5" s="24" t="str">
        <f>$E$23</f>
        <v>—</v>
      </c>
      <c r="U5" s="24" t="str">
        <f>$E$24</f>
        <v>К-13</v>
      </c>
      <c r="V5" s="24" t="str">
        <f>$E$25</f>
        <v>R</v>
      </c>
      <c r="W5" s="24" t="str">
        <f>$E$26</f>
        <v>t4070</v>
      </c>
      <c r="X5" s="24">
        <f>$E$27</f>
        <v>0.6</v>
      </c>
      <c r="Y5" s="24"/>
    </row>
    <row r="6" spans="1:33">
      <c r="A6" s="26" t="s">
        <v>198</v>
      </c>
      <c r="B6" s="26" t="s">
        <v>197</v>
      </c>
      <c r="C6" s="26" t="s">
        <v>196</v>
      </c>
      <c r="D6" s="26" t="s">
        <v>289</v>
      </c>
      <c r="E6" s="26" t="s">
        <v>296</v>
      </c>
      <c r="F6" s="26"/>
      <c r="X6" s="113"/>
      <c r="AA6" s="113"/>
    </row>
    <row r="7" spans="1:33" ht="29.25" customHeight="1">
      <c r="A7">
        <v>1</v>
      </c>
      <c r="B7" t="s">
        <v>217</v>
      </c>
      <c r="C7">
        <f ca="1">COUNTA(INDIRECT($B7&amp;"C3:C100"))</f>
        <v>1</v>
      </c>
      <c r="D7" s="28"/>
      <c r="E7" s="26"/>
      <c r="F7" s="26"/>
      <c r="H7" s="101" t="s">
        <v>194</v>
      </c>
      <c r="I7" s="100"/>
      <c r="J7" s="100"/>
      <c r="K7" s="100"/>
      <c r="L7" s="100"/>
      <c r="M7" s="100"/>
      <c r="N7" s="102"/>
      <c r="O7" s="106" t="s">
        <v>41</v>
      </c>
      <c r="P7" s="106"/>
      <c r="Q7" s="106"/>
      <c r="R7" s="106"/>
      <c r="S7" s="106"/>
      <c r="T7" s="99" t="s">
        <v>195</v>
      </c>
      <c r="U7" s="100"/>
      <c r="V7" s="100"/>
      <c r="W7" s="100"/>
      <c r="X7" s="100"/>
      <c r="Y7" s="100"/>
      <c r="Z7" s="100"/>
      <c r="AA7" s="100"/>
      <c r="AB7" s="100"/>
      <c r="AC7" s="109" t="s">
        <v>205</v>
      </c>
      <c r="AD7" s="109"/>
      <c r="AE7" s="109"/>
      <c r="AF7" s="109"/>
      <c r="AG7" s="110"/>
    </row>
    <row r="8" spans="1:33" ht="29.25" customHeight="1">
      <c r="A8">
        <v>2</v>
      </c>
      <c r="B8" t="s">
        <v>218</v>
      </c>
      <c r="C8">
        <f ca="1">COUNTA(INDIRECT($B8&amp;"!C3:C100"))</f>
        <v>2</v>
      </c>
      <c r="D8" s="28"/>
      <c r="E8" s="28">
        <f>O8</f>
        <v>51</v>
      </c>
      <c r="G8" s="67" t="str">
        <f>IF(TRIM(AC8)="","","!")</f>
        <v/>
      </c>
      <c r="H8" s="103" t="s">
        <v>5</v>
      </c>
      <c r="I8" s="104"/>
      <c r="J8" s="104"/>
      <c r="K8" s="104"/>
      <c r="L8" s="104"/>
      <c r="M8" s="104"/>
      <c r="N8" s="105"/>
      <c r="O8" s="87">
        <v>51</v>
      </c>
      <c r="P8" s="87"/>
      <c r="Q8" s="87"/>
      <c r="R8" s="87"/>
      <c r="S8" s="87"/>
      <c r="T8" s="88" t="str">
        <f ca="1">IFERROR(VLOOKUP(O8,OFFSET(INDIRECT($B8&amp;"!C3"),0,0,C8,2),2,0),"-")</f>
        <v>схема подключения с независимыми контактными группами</v>
      </c>
      <c r="U8" s="88"/>
      <c r="V8" s="88"/>
      <c r="W8" s="88"/>
      <c r="X8" s="88"/>
      <c r="Y8" s="88"/>
      <c r="Z8" s="88"/>
      <c r="AA8" s="88"/>
      <c r="AB8" s="88"/>
      <c r="AC8" s="98"/>
      <c r="AD8" s="98"/>
      <c r="AE8" s="98"/>
      <c r="AF8" s="98"/>
      <c r="AG8" s="98"/>
    </row>
    <row r="9" spans="1:33" ht="29.25" customHeight="1">
      <c r="A9">
        <v>3</v>
      </c>
      <c r="B9" t="s">
        <v>219</v>
      </c>
      <c r="C9">
        <f t="shared" ref="C9:C27" ca="1" si="0">COUNTA(INDIRECT($B9&amp;"!C3:C100"))</f>
        <v>11</v>
      </c>
      <c r="D9" s="28"/>
      <c r="E9" s="28" t="str">
        <f>IFERROR(INDEX(п.3!$C$3:$C$13,MATCH('ЭЛЕМЕР-СПГ'!O9,п.3!$A$3:$A$13,0)),O9)</f>
        <v>ЕхiaIIAT5</v>
      </c>
      <c r="G9" s="67" t="str">
        <f t="shared" ref="G9:G27" si="1">IF(TRIM(AC9)="","","!")</f>
        <v/>
      </c>
      <c r="H9" s="103" t="s">
        <v>8</v>
      </c>
      <c r="I9" s="104"/>
      <c r="J9" s="104"/>
      <c r="K9" s="104"/>
      <c r="L9" s="104"/>
      <c r="M9" s="104"/>
      <c r="N9" s="105"/>
      <c r="O9" s="87" t="s">
        <v>10</v>
      </c>
      <c r="P9" s="87"/>
      <c r="Q9" s="87"/>
      <c r="R9" s="87"/>
      <c r="S9" s="87"/>
      <c r="T9" s="88" t="str">
        <f ca="1">IFERROR(VLOOKUP(E9,OFFSET(INDIRECT($B9&amp;"!C3"),0,0,C9,2),2,0),"нельзя выбирать")</f>
        <v xml:space="preserve">С видом взрывозащиты «Ex — искробезопасная эл. цепь i» </v>
      </c>
      <c r="U9" s="88"/>
      <c r="V9" s="88"/>
      <c r="W9" s="88"/>
      <c r="X9" s="88"/>
      <c r="Y9" s="88"/>
      <c r="Z9" s="88"/>
      <c r="AA9" s="88"/>
      <c r="AB9" s="88"/>
      <c r="AC9" s="86" t="str">
        <f>IFERROR(IF(VLOOKUP($E$9,п.3!$C$3:$F$13,4,0),"","НЕЛЬЗЯ"),"НЕЛЬЗЯ")</f>
        <v/>
      </c>
      <c r="AD9" s="86"/>
      <c r="AE9" s="86"/>
      <c r="AF9" s="86"/>
      <c r="AG9" s="86"/>
    </row>
    <row r="10" spans="1:33" ht="29.25" customHeight="1">
      <c r="A10">
        <v>4</v>
      </c>
      <c r="B10" t="s">
        <v>220</v>
      </c>
      <c r="C10">
        <f t="shared" ca="1" si="0"/>
        <v>1</v>
      </c>
      <c r="D10" s="28"/>
      <c r="E10" s="28" t="str">
        <f>O10</f>
        <v>—</v>
      </c>
      <c r="G10" s="67" t="str">
        <f t="shared" si="1"/>
        <v/>
      </c>
      <c r="H10" s="103" t="s">
        <v>20</v>
      </c>
      <c r="I10" s="104"/>
      <c r="J10" s="104"/>
      <c r="K10" s="104"/>
      <c r="L10" s="104"/>
      <c r="M10" s="104"/>
      <c r="N10" s="105"/>
      <c r="O10" s="88" t="s">
        <v>1</v>
      </c>
      <c r="P10" s="88"/>
      <c r="Q10" s="88"/>
      <c r="R10" s="88"/>
      <c r="S10" s="88"/>
      <c r="T10" s="88" t="str">
        <f ca="1">VLOOKUP(O10,OFFSET(INDIRECT($B10&amp;"!C3"),0,0,C10,2),2,0)</f>
        <v xml:space="preserve"> </v>
      </c>
      <c r="U10" s="88"/>
      <c r="V10" s="88"/>
      <c r="W10" s="88"/>
      <c r="X10" s="88"/>
      <c r="Y10" s="88"/>
      <c r="Z10" s="88"/>
      <c r="AA10" s="88"/>
      <c r="AB10" s="88"/>
      <c r="AC10" s="98"/>
      <c r="AD10" s="98"/>
      <c r="AE10" s="98"/>
      <c r="AF10" s="98"/>
      <c r="AG10" s="98"/>
    </row>
    <row r="11" spans="1:33" ht="29.25" customHeight="1">
      <c r="A11">
        <v>5</v>
      </c>
      <c r="B11" t="s">
        <v>221</v>
      </c>
      <c r="C11">
        <f t="shared" ca="1" si="0"/>
        <v>3</v>
      </c>
      <c r="D11" s="28"/>
      <c r="E11" s="28" t="str">
        <f>IFERROR(INDEX(п.5!$C$3:$C$5,MATCH(O11,п.5!$A$3:$A$5,0)),SUBSTITUTE(O11," - нельзя выбирать",""))</f>
        <v>НГ24</v>
      </c>
      <c r="G11" s="67" t="str">
        <f t="shared" si="1"/>
        <v/>
      </c>
      <c r="H11" s="103" t="s">
        <v>305</v>
      </c>
      <c r="I11" s="104"/>
      <c r="J11" s="104"/>
      <c r="K11" s="104"/>
      <c r="L11" s="104"/>
      <c r="M11" s="104"/>
      <c r="N11" s="105"/>
      <c r="O11" s="87" t="s">
        <v>307</v>
      </c>
      <c r="P11" s="87"/>
      <c r="Q11" s="87"/>
      <c r="R11" s="87"/>
      <c r="S11" s="87"/>
      <c r="T11" s="88" t="str">
        <f ca="1">IFERROR(VLOOKUP(E11,OFFSET(INDIRECT($B11&amp;"!C3"),0,0,C11,2),2,0),"-")</f>
        <v>нержавеющая сталь</v>
      </c>
      <c r="U11" s="88"/>
      <c r="V11" s="88"/>
      <c r="W11" s="88"/>
      <c r="X11" s="88"/>
      <c r="Y11" s="88"/>
      <c r="Z11" s="88"/>
      <c r="AA11" s="88"/>
      <c r="AB11" s="88"/>
      <c r="AC11" s="86" t="str">
        <f>IFERROR(IF(VLOOKUP($E$11,п.5!A3:F5,6,0),"","НЕЛЬЗЯ"),"НЕЛЬЗЯ")</f>
        <v/>
      </c>
      <c r="AD11" s="86"/>
      <c r="AE11" s="86"/>
      <c r="AF11" s="86"/>
      <c r="AG11" s="86"/>
    </row>
    <row r="12" spans="1:33" ht="29.25" customHeight="1">
      <c r="A12">
        <v>6</v>
      </c>
      <c r="B12" t="s">
        <v>222</v>
      </c>
      <c r="C12">
        <f t="shared" ca="1" si="0"/>
        <v>5</v>
      </c>
      <c r="D12" s="28"/>
      <c r="E12" s="28">
        <f>IFERROR(INDEX(п.6!$C$3:$C$7,MATCH('ЭЛЕМЕР-СПГ'!O12,п.6!$A$3:$A$7,0)),SUBSTITUTE(O12," - нельзя выбирать",""))*1</f>
        <v>1</v>
      </c>
      <c r="G12" s="67" t="str">
        <f t="shared" si="1"/>
        <v/>
      </c>
      <c r="H12" s="103" t="s">
        <v>23</v>
      </c>
      <c r="I12" s="104"/>
      <c r="J12" s="104"/>
      <c r="K12" s="104"/>
      <c r="L12" s="104"/>
      <c r="M12" s="104"/>
      <c r="N12" s="105"/>
      <c r="O12" s="87">
        <v>1</v>
      </c>
      <c r="P12" s="87"/>
      <c r="Q12" s="87"/>
      <c r="R12" s="87"/>
      <c r="S12" s="87"/>
      <c r="T12" s="88" t="str">
        <f ca="1">IFERROR(VLOOKUP(E12,OFFSET(INDIRECT($B12&amp;"!C3"),0,0,C12,2),2,0),"нельзя выбирать")</f>
        <v>Количество поплавков 1</v>
      </c>
      <c r="U12" s="88"/>
      <c r="V12" s="88"/>
      <c r="W12" s="88"/>
      <c r="X12" s="88"/>
      <c r="Y12" s="88"/>
      <c r="Z12" s="88"/>
      <c r="AA12" s="88"/>
      <c r="AB12" s="88"/>
      <c r="AC12" s="86" t="str">
        <f>IFERROR(IF(VLOOKUP($E$12,п.6!$C$3:$H$7,6,0),"","НЕЛЬЗЯ"),"НЕЛЬЗЯ")</f>
        <v/>
      </c>
      <c r="AD12" s="86"/>
      <c r="AE12" s="86"/>
      <c r="AF12" s="86"/>
      <c r="AG12" s="86"/>
    </row>
    <row r="13" spans="1:33" ht="29.25" customHeight="1">
      <c r="A13">
        <v>7</v>
      </c>
      <c r="B13" t="s">
        <v>223</v>
      </c>
      <c r="C13">
        <f t="shared" ca="1" si="0"/>
        <v>5</v>
      </c>
      <c r="D13" s="28"/>
      <c r="E13" s="28" t="str">
        <f>IFERROR(INDEX(п.7!$C$3:$C$7,MATCH(O13,п.7!$A$3:$A$7,0)),SUBSTITUTE(O13," - нельзя выбирать",""))</f>
        <v>М1</v>
      </c>
      <c r="G13" s="67" t="str">
        <f t="shared" si="1"/>
        <v/>
      </c>
      <c r="H13" s="103" t="s">
        <v>190</v>
      </c>
      <c r="I13" s="104"/>
      <c r="J13" s="104"/>
      <c r="K13" s="104"/>
      <c r="L13" s="104"/>
      <c r="M13" s="104"/>
      <c r="N13" s="105"/>
      <c r="O13" s="87" t="s">
        <v>32</v>
      </c>
      <c r="P13" s="87"/>
      <c r="Q13" s="87"/>
      <c r="R13" s="87"/>
      <c r="S13" s="87"/>
      <c r="T13" s="88" t="str">
        <f ca="1">IFERROR(VLOOKUP(E13,OFFSET(INDIRECT($B13&amp;"!C3"),0,0,C13,2),2,0),"-")</f>
        <v>диаметр арматуры Ø20 мм, длина до 6000 мм, количество уровней — 1…5</v>
      </c>
      <c r="U13" s="88"/>
      <c r="V13" s="88"/>
      <c r="W13" s="88"/>
      <c r="X13" s="88"/>
      <c r="Y13" s="88"/>
      <c r="Z13" s="88"/>
      <c r="AA13" s="88"/>
      <c r="AB13" s="88"/>
      <c r="AC13" s="86" t="str">
        <f>IFERROR(IF(VLOOKUP($E$9,п.3!$C$3:$F$13,4,0),"","НЕЛЬЗЯ"),"НЕЛЬЗЯ")</f>
        <v/>
      </c>
      <c r="AD13" s="86"/>
      <c r="AE13" s="86"/>
      <c r="AF13" s="86"/>
      <c r="AG13" s="86"/>
    </row>
    <row r="14" spans="1:33" ht="45" customHeight="1">
      <c r="A14">
        <v>8</v>
      </c>
      <c r="B14" t="s">
        <v>224</v>
      </c>
      <c r="C14">
        <f t="shared" ca="1" si="0"/>
        <v>2</v>
      </c>
      <c r="D14" s="28"/>
      <c r="E14" s="28">
        <f>O14</f>
        <v>3000</v>
      </c>
      <c r="G14" s="67" t="str">
        <f t="shared" si="1"/>
        <v/>
      </c>
      <c r="H14" s="103" t="s">
        <v>191</v>
      </c>
      <c r="I14" s="104"/>
      <c r="J14" s="104"/>
      <c r="K14" s="104"/>
      <c r="L14" s="104"/>
      <c r="M14" s="104"/>
      <c r="N14" s="105"/>
      <c r="O14" s="107">
        <v>3000</v>
      </c>
      <c r="P14" s="107"/>
      <c r="Q14" s="107"/>
      <c r="R14" s="107"/>
      <c r="S14" s="107"/>
      <c r="T14" s="88" t="str">
        <f ca="1">OFFSET(INDIRECT($B14&amp;"!C2"),IF(O13="М4",2,1),1)</f>
        <v>М1 / М1П — длина от 162 до 6000 мм.
М2 — длина от 140 до 3000 мм.
М3 — длина от 110 до 2000 мм.</v>
      </c>
      <c r="U14" s="88"/>
      <c r="V14" s="88"/>
      <c r="W14" s="88"/>
      <c r="X14" s="88"/>
      <c r="Y14" s="88"/>
      <c r="Z14" s="88"/>
      <c r="AA14" s="88"/>
      <c r="AB14" s="88"/>
      <c r="AC14" s="86" t="str">
        <f>IFERROR(IF(AND($E$14&gt;=HLOOKUP($O$13,п.8!$E$2:$I$3,2,0),$O$14&lt;=HLOOKUP($O$13,п.8!J2:N3,2,0)),"","НЕЛЬЗЯ"),"НЕЛЬЗЯ")</f>
        <v/>
      </c>
      <c r="AD14" s="86"/>
      <c r="AE14" s="86"/>
      <c r="AF14" s="86"/>
      <c r="AG14" s="86"/>
    </row>
    <row r="15" spans="1:33" ht="29.25" customHeight="1">
      <c r="A15">
        <v>9</v>
      </c>
      <c r="B15" t="s">
        <v>286</v>
      </c>
      <c r="C15">
        <f ca="1">COUNTA(INDIRECT($B15&amp;"!C3:C100"))</f>
        <v>3</v>
      </c>
      <c r="D15" s="28">
        <f>COUNTIF($O$15:O15,"*H*")</f>
        <v>1</v>
      </c>
      <c r="E15" s="28" t="str">
        <f>IF(LEN(O15)&gt;1,O15&amp;P15&amp;"-"&amp;Q15,Q15)</f>
        <v>HL1-300</v>
      </c>
      <c r="F15" s="28"/>
      <c r="G15" s="67" t="str">
        <f t="shared" si="1"/>
        <v/>
      </c>
      <c r="H15" s="103" t="s">
        <v>283</v>
      </c>
      <c r="I15" s="104"/>
      <c r="J15" s="104"/>
      <c r="K15" s="104"/>
      <c r="L15" s="104"/>
      <c r="M15" s="104"/>
      <c r="N15" s="105"/>
      <c r="O15" s="60" t="s">
        <v>284</v>
      </c>
      <c r="P15" s="61">
        <f>IF(D15&lt;&gt;D14,D15,"")</f>
        <v>1</v>
      </c>
      <c r="Q15" s="62">
        <v>300</v>
      </c>
      <c r="R15" s="63">
        <f>IFERROR(CEILING(INDEX(п.9!$C$3:$S$13,MATCH(O15&amp;P15,п.9!$C$3:$C$13,0),MATCH('ЭЛЕМЕР-СПГ'!$O$13,п.9!$J$2:$N$2,0)+7),1),"–")</f>
        <v>250</v>
      </c>
      <c r="S15" s="63">
        <f>IFERROR(FLOOR(INDEX(п.9!$C$3:$S$13,MATCH(O15&amp;P15,п.9!$C$3:$C$13,0),MATCH('ЭЛЕМЕР-СПГ'!$O$13,п.9!$J$2:$N$2,0)+12),1),"–")</f>
        <v>2938</v>
      </c>
      <c r="T15" s="88" t="str">
        <f ca="1">IFERROR(VLOOKUP(O15,OFFSET(INDIRECT($B15&amp;"!C3"),0,0,C15,2),2,0)&amp;", минимальный уровень "&amp;R15&amp;" мм, максимальный уровень "&amp;S15&amp;" мм","")</f>
        <v>сигнализация при понижении уровня, минимальный уровень 250 мм, максимальный уровень 2938 мм</v>
      </c>
      <c r="U15" s="88"/>
      <c r="V15" s="88"/>
      <c r="W15" s="88"/>
      <c r="X15" s="88"/>
      <c r="Y15" s="88"/>
      <c r="Z15" s="88"/>
      <c r="AA15" s="88"/>
      <c r="AB15" s="88"/>
      <c r="AC15" s="86" t="str">
        <f>IFERROR(IF(VLOOKUP(O15&amp;Q15,п.9!$C$4:$G$13,5,0),"","НЕЛЬЗЯ"),"")&amp;IF(AND(Q15&gt;=R15,Q15&lt;=S15),"","НЕЛЬЗЯ ")</f>
        <v/>
      </c>
      <c r="AD15" s="86"/>
      <c r="AE15" s="86"/>
      <c r="AF15" s="86"/>
      <c r="AG15" s="86"/>
    </row>
    <row r="16" spans="1:33" ht="29.25" customHeight="1">
      <c r="A16">
        <v>10</v>
      </c>
      <c r="B16" t="s">
        <v>286</v>
      </c>
      <c r="C16">
        <f t="shared" ref="C16:C19" ca="1" si="2">COUNTA(INDIRECT($B16&amp;"!C3:C100"))</f>
        <v>3</v>
      </c>
      <c r="D16" s="28">
        <f>COUNTIF($O$15:O16,"*H*")</f>
        <v>1</v>
      </c>
      <c r="E16" s="51" t="str">
        <f>IF(LEN(O16)&gt;1,"/"&amp;O16&amp;P16&amp;"-"&amp;Q16,"")</f>
        <v/>
      </c>
      <c r="F16" s="57"/>
      <c r="G16" s="67" t="str">
        <f t="shared" si="1"/>
        <v/>
      </c>
      <c r="H16" s="89"/>
      <c r="I16" s="90"/>
      <c r="J16" s="90"/>
      <c r="K16" s="90"/>
      <c r="L16" s="90"/>
      <c r="M16" s="90"/>
      <c r="N16" s="91"/>
      <c r="O16" s="60"/>
      <c r="P16" s="61" t="str">
        <f t="shared" ref="P16:P19" si="3">IF(D16&lt;&gt;D15,D16,"")</f>
        <v/>
      </c>
      <c r="Q16" s="68"/>
      <c r="R16" s="63" t="str">
        <f>IFERROR(CEILING(INDEX(п.9!$C$3:$S$13,MATCH(O16&amp;P16,п.9!$C$3:$C$13,0),MATCH('ЭЛЕМЕР-СПГ'!$O$13,п.9!$J$2:$N$2,0)+7),1),"–")</f>
        <v>–</v>
      </c>
      <c r="S16" s="63" t="str">
        <f>IFERROR(FLOOR(INDEX(п.9!$C$3:$S$13,MATCH(O16&amp;P16,п.9!$C$3:$C$13,0),MATCH('ЭЛЕМЕР-СПГ'!$O$13,п.9!$J$2:$N$2,0)+12),1),"–")</f>
        <v>–</v>
      </c>
      <c r="T16" s="88" t="str">
        <f t="shared" ref="T16" ca="1" si="4">IFERROR(VLOOKUP(O16,OFFSET(INDIRECT($B16&amp;"!C3"),0,0,C16,2),2,0)&amp;", минимальный уровень "&amp;R16&amp;" мм, максимальный уровень "&amp;S16&amp;" мм","")</f>
        <v/>
      </c>
      <c r="U16" s="88"/>
      <c r="V16" s="88"/>
      <c r="W16" s="88"/>
      <c r="X16" s="88"/>
      <c r="Y16" s="88"/>
      <c r="Z16" s="88"/>
      <c r="AA16" s="88"/>
      <c r="AB16" s="88"/>
      <c r="AC16" s="86" t="str">
        <f>IF(LEN(O16)&gt;1,IF(AND(Q16&gt;=R16,P16&lt;=S16),"","НЕЛЬЗЯ "),"")</f>
        <v/>
      </c>
      <c r="AD16" s="86"/>
      <c r="AE16" s="86"/>
      <c r="AF16" s="86"/>
      <c r="AG16" s="86"/>
    </row>
    <row r="17" spans="1:33" ht="29.25" customHeight="1">
      <c r="A17">
        <v>11</v>
      </c>
      <c r="B17" t="s">
        <v>286</v>
      </c>
      <c r="C17">
        <f t="shared" ca="1" si="2"/>
        <v>3</v>
      </c>
      <c r="D17" s="28">
        <f>COUNTIF($O$15:O17,"*H*")</f>
        <v>1</v>
      </c>
      <c r="E17" s="51" t="str">
        <f t="shared" ref="E17:E19" si="5">IF(LEN(O17)&gt;1,"/"&amp;O17&amp;P17&amp;"-"&amp;Q17,"")</f>
        <v/>
      </c>
      <c r="F17" s="57"/>
      <c r="G17" s="67" t="str">
        <f t="shared" si="1"/>
        <v/>
      </c>
      <c r="H17" s="92"/>
      <c r="I17" s="93"/>
      <c r="J17" s="93"/>
      <c r="K17" s="93"/>
      <c r="L17" s="93"/>
      <c r="M17" s="93"/>
      <c r="N17" s="94"/>
      <c r="O17" s="64"/>
      <c r="P17" s="61" t="str">
        <f t="shared" si="3"/>
        <v/>
      </c>
      <c r="Q17" s="68"/>
      <c r="R17" s="63" t="str">
        <f>IFERROR(CEILING(INDEX(п.9!$C$3:$S$13,MATCH(O17&amp;P17,п.9!$C$3:$C$13,0),MATCH('ЭЛЕМЕР-СПГ'!$O$13,п.9!$J$2:$N$2,0)+7),1),"–")</f>
        <v>–</v>
      </c>
      <c r="S17" s="63" t="str">
        <f>IFERROR(FLOOR(INDEX(п.9!$C$3:$S$13,MATCH(O17&amp;P17,п.9!$C$3:$C$13,0),MATCH('ЭЛЕМЕР-СПГ'!$O$13,п.9!$J$2:$N$2,0)+12),1),"–")</f>
        <v>–</v>
      </c>
      <c r="T17" s="88" t="str">
        <f ca="1">IFERROR(VLOOKUP(O17,OFFSET(INDIRECT($B17&amp;"!C3"),0,0,C17,2),2,0)&amp;", минимальный уровень "&amp;R17&amp;" мм, максимальный уровень "&amp;S17&amp;" мм"&amp;IF(R17&lt;&gt;"–","",NA()),"")</f>
        <v/>
      </c>
      <c r="U17" s="88"/>
      <c r="V17" s="88"/>
      <c r="W17" s="88"/>
      <c r="X17" s="88"/>
      <c r="Y17" s="88"/>
      <c r="Z17" s="88"/>
      <c r="AA17" s="88"/>
      <c r="AB17" s="88"/>
      <c r="AC17" s="86" t="str">
        <f t="shared" ref="AC17:AC19" si="6">IF(LEN(O17)&gt;1,IF(AND(Q17&gt;=R17,P17&lt;=S17),"","НЕЛЬЗЯ "),"")</f>
        <v/>
      </c>
      <c r="AD17" s="86"/>
      <c r="AE17" s="86"/>
      <c r="AF17" s="86"/>
      <c r="AG17" s="86"/>
    </row>
    <row r="18" spans="1:33" ht="29.25" customHeight="1">
      <c r="A18">
        <v>12</v>
      </c>
      <c r="B18" t="s">
        <v>286</v>
      </c>
      <c r="C18">
        <f t="shared" ca="1" si="2"/>
        <v>3</v>
      </c>
      <c r="D18" s="28">
        <f>COUNTIF($O$15:O18,"*H*")</f>
        <v>1</v>
      </c>
      <c r="E18" s="51" t="str">
        <f t="shared" si="5"/>
        <v/>
      </c>
      <c r="F18" s="57"/>
      <c r="G18" s="67" t="str">
        <f t="shared" si="1"/>
        <v/>
      </c>
      <c r="H18" s="92"/>
      <c r="I18" s="93"/>
      <c r="J18" s="93"/>
      <c r="K18" s="93"/>
      <c r="L18" s="93"/>
      <c r="M18" s="93"/>
      <c r="N18" s="94"/>
      <c r="O18" s="64"/>
      <c r="P18" s="61" t="str">
        <f t="shared" si="3"/>
        <v/>
      </c>
      <c r="Q18" s="68"/>
      <c r="R18" s="63" t="str">
        <f>IFERROR(CEILING(INDEX(п.9!$C$3:$S$13,MATCH(O18&amp;P18,п.9!$C$3:$C$13,0),MATCH('ЭЛЕМЕР-СПГ'!$O$13,п.9!$J$2:$N$2,0)+7),1),"–")</f>
        <v>–</v>
      </c>
      <c r="S18" s="63" t="str">
        <f>IFERROR(FLOOR(INDEX(п.9!$C$3:$S$13,MATCH(O18&amp;P18,п.9!$C$3:$C$13,0),MATCH('ЭЛЕМЕР-СПГ'!$O$13,п.9!$J$2:$N$2,0)+12),1),"–")</f>
        <v>–</v>
      </c>
      <c r="T18" s="88" t="str">
        <f t="shared" ref="T18:T19" ca="1" si="7">IFERROR(VLOOKUP(O18,OFFSET(INDIRECT($B18&amp;"!C3"),0,0,C18,2),2,0)&amp;", минимальный уровень "&amp;R18&amp;" мм, максимальный уровень "&amp;S18&amp;" мм"&amp;IF(R18&lt;&gt;"–","",NA()),"")</f>
        <v/>
      </c>
      <c r="U18" s="88"/>
      <c r="V18" s="88"/>
      <c r="W18" s="88"/>
      <c r="X18" s="88"/>
      <c r="Y18" s="88"/>
      <c r="Z18" s="88"/>
      <c r="AA18" s="88"/>
      <c r="AB18" s="88"/>
      <c r="AC18" s="86" t="str">
        <f t="shared" si="6"/>
        <v/>
      </c>
      <c r="AD18" s="86"/>
      <c r="AE18" s="86"/>
      <c r="AF18" s="86"/>
      <c r="AG18" s="86"/>
    </row>
    <row r="19" spans="1:33" ht="29.25" customHeight="1">
      <c r="A19">
        <v>13</v>
      </c>
      <c r="B19" t="s">
        <v>286</v>
      </c>
      <c r="C19">
        <f t="shared" ca="1" si="2"/>
        <v>3</v>
      </c>
      <c r="D19" s="28">
        <f>COUNTIF($O$15:O19,"*H*")</f>
        <v>1</v>
      </c>
      <c r="E19" s="51" t="str">
        <f t="shared" si="5"/>
        <v/>
      </c>
      <c r="F19" s="57"/>
      <c r="G19" s="67" t="str">
        <f t="shared" si="1"/>
        <v/>
      </c>
      <c r="H19" s="95"/>
      <c r="I19" s="96"/>
      <c r="J19" s="96"/>
      <c r="K19" s="96"/>
      <c r="L19" s="96"/>
      <c r="M19" s="96"/>
      <c r="N19" s="97"/>
      <c r="O19" s="65"/>
      <c r="P19" s="61" t="str">
        <f t="shared" si="3"/>
        <v/>
      </c>
      <c r="Q19" s="68"/>
      <c r="R19" s="66" t="str">
        <f>IFERROR(CEILING(INDEX(п.9!$C$3:$S$13,MATCH(O19&amp;P19,п.9!$C$3:$C$13,0),MATCH('ЭЛЕМЕР-СПГ'!$O$13,п.9!$J$2:$N$2,0)+7),1),"–")</f>
        <v>–</v>
      </c>
      <c r="S19" s="66" t="str">
        <f>IFERROR(FLOOR(INDEX(п.9!$C$3:$S$13,MATCH(O19&amp;P19,п.9!$C$3:$C$13,0),MATCH('ЭЛЕМЕР-СПГ'!$O$13,п.9!$J$2:$N$2,0)+12),1),"–")</f>
        <v>–</v>
      </c>
      <c r="T19" s="88" t="str">
        <f t="shared" ca="1" si="7"/>
        <v/>
      </c>
      <c r="U19" s="88"/>
      <c r="V19" s="88"/>
      <c r="W19" s="88"/>
      <c r="X19" s="88"/>
      <c r="Y19" s="88"/>
      <c r="Z19" s="88"/>
      <c r="AA19" s="88"/>
      <c r="AB19" s="88"/>
      <c r="AC19" s="86" t="str">
        <f t="shared" si="6"/>
        <v/>
      </c>
      <c r="AD19" s="86"/>
      <c r="AE19" s="86"/>
      <c r="AF19" s="86"/>
      <c r="AG19" s="86"/>
    </row>
    <row r="20" spans="1:33" ht="29.25" customHeight="1">
      <c r="A20">
        <v>10</v>
      </c>
      <c r="B20" t="s">
        <v>225</v>
      </c>
      <c r="C20">
        <f t="shared" ca="1" si="0"/>
        <v>14</v>
      </c>
      <c r="D20" s="28"/>
      <c r="E20" s="28" t="str">
        <f>IFERROR(INDEX(п.10!$C$3:$C$16,MATCH(O20,п.10!$A$3:$A$16,0)),SUBSTITUTE(O20," - нельзя выбирать",""))</f>
        <v>1М27</v>
      </c>
      <c r="F20" s="28"/>
      <c r="G20" s="67" t="str">
        <f t="shared" si="1"/>
        <v/>
      </c>
      <c r="H20" s="88" t="s">
        <v>59</v>
      </c>
      <c r="I20" s="88"/>
      <c r="J20" s="88"/>
      <c r="K20" s="88"/>
      <c r="L20" s="88"/>
      <c r="M20" s="88"/>
      <c r="N20" s="88"/>
      <c r="O20" s="87" t="s">
        <v>312</v>
      </c>
      <c r="P20" s="87"/>
      <c r="Q20" s="87"/>
      <c r="R20" s="87"/>
      <c r="S20" s="87"/>
      <c r="T20" s="88" t="str">
        <f ca="1">IFERROR(VLOOKUP(E20,OFFSET(INDIRECT($B20&amp;"!C3"),0,0,C20,2),2,0),"нельзя выбирать")</f>
        <v xml:space="preserve">штуцер с наружной резьбой М27х1,5, для модификаций: </v>
      </c>
      <c r="U20" s="88"/>
      <c r="V20" s="88"/>
      <c r="W20" s="88"/>
      <c r="X20" s="88"/>
      <c r="Y20" s="88"/>
      <c r="Z20" s="88"/>
      <c r="AA20" s="88"/>
      <c r="AB20" s="88"/>
      <c r="AC20" s="86" t="str">
        <f>IFERROR(IF(VLOOKUP($E$20,п.10!C3:F16,4,0),"","НЕЛЬЗЯ"),"НЕЛЬЗЯ")</f>
        <v/>
      </c>
      <c r="AD20" s="86"/>
      <c r="AE20" s="86"/>
      <c r="AF20" s="86"/>
      <c r="AG20" s="86"/>
    </row>
    <row r="21" spans="1:33" ht="29.25" customHeight="1">
      <c r="A21">
        <v>11</v>
      </c>
      <c r="B21" t="s">
        <v>226</v>
      </c>
      <c r="C21">
        <f t="shared" ca="1" si="0"/>
        <v>2</v>
      </c>
      <c r="D21" s="28"/>
      <c r="E21" s="28" t="str">
        <f>O21</f>
        <v>"02"</v>
      </c>
      <c r="F21" s="28"/>
      <c r="G21" s="67" t="str">
        <f t="shared" si="1"/>
        <v/>
      </c>
      <c r="H21" s="88" t="s">
        <v>91</v>
      </c>
      <c r="I21" s="88"/>
      <c r="J21" s="88"/>
      <c r="K21" s="88"/>
      <c r="L21" s="88"/>
      <c r="M21" s="88"/>
      <c r="N21" s="88"/>
      <c r="O21" s="87" t="s">
        <v>92</v>
      </c>
      <c r="P21" s="87"/>
      <c r="Q21" s="87"/>
      <c r="R21" s="87"/>
      <c r="S21" s="87"/>
      <c r="T21" s="88" t="str">
        <f ca="1">IFERROR(VLOOKUP(E21,OFFSET(INDIRECT($B21&amp;"!C3"),0,0,C21,2),2,0),"-")</f>
        <v>сталь 12Х18Н10Т</v>
      </c>
      <c r="U21" s="88"/>
      <c r="V21" s="88"/>
      <c r="W21" s="88"/>
      <c r="X21" s="88"/>
      <c r="Y21" s="88"/>
      <c r="Z21" s="88"/>
      <c r="AA21" s="88"/>
      <c r="AB21" s="88"/>
      <c r="AC21" s="86"/>
      <c r="AD21" s="86"/>
      <c r="AE21" s="86"/>
      <c r="AF21" s="86"/>
      <c r="AG21" s="86"/>
    </row>
    <row r="22" spans="1:33" ht="29.25" customHeight="1">
      <c r="A22">
        <v>12</v>
      </c>
      <c r="B22" t="s">
        <v>227</v>
      </c>
      <c r="C22">
        <f t="shared" ca="1" si="0"/>
        <v>6</v>
      </c>
      <c r="D22" s="28"/>
      <c r="E22" s="28">
        <f>IFERROR(INDEX(п.12!$C$3:$C$8,MATCH('ЭЛЕМЕР-СПГ'!O22,п.12!$A$3:$A$8,0)),SUBSTITUTE(O22," - нельзя выбирать",""))</f>
        <v>3</v>
      </c>
      <c r="F22" s="28"/>
      <c r="G22" s="67" t="str">
        <f t="shared" si="1"/>
        <v/>
      </c>
      <c r="H22" s="88" t="s">
        <v>279</v>
      </c>
      <c r="I22" s="88"/>
      <c r="J22" s="88"/>
      <c r="K22" s="88"/>
      <c r="L22" s="88"/>
      <c r="M22" s="88"/>
      <c r="N22" s="88"/>
      <c r="O22" s="87">
        <v>3</v>
      </c>
      <c r="P22" s="87"/>
      <c r="Q22" s="87"/>
      <c r="R22" s="87"/>
      <c r="S22" s="87"/>
      <c r="T22" s="88" t="str">
        <f ca="1">IFERROR(VLOOKUP(E22,OFFSET(INDIRECT($B22&amp;"!C3"),0,0,C22,2),2,0),"нельзя выбирать")</f>
        <v>Цилиндр Ø86х100 мм, для кода модификации монтажной части «М1», «М1П»</v>
      </c>
      <c r="U22" s="88"/>
      <c r="V22" s="88"/>
      <c r="W22" s="88"/>
      <c r="X22" s="88"/>
      <c r="Y22" s="88"/>
      <c r="Z22" s="88"/>
      <c r="AA22" s="88"/>
      <c r="AB22" s="88"/>
      <c r="AC22" s="86" t="str">
        <f>IFERROR(IF(VLOOKUP($E$22,п.12!$C$3:$F$8,4,0),"","НЕЛЬЗЯ"),"НЕЛЬЗЯ")</f>
        <v/>
      </c>
      <c r="AD22" s="86"/>
      <c r="AE22" s="86"/>
      <c r="AF22" s="86"/>
      <c r="AG22" s="86"/>
    </row>
    <row r="23" spans="1:33" ht="29.25" customHeight="1">
      <c r="A23">
        <v>13</v>
      </c>
      <c r="B23" t="s">
        <v>228</v>
      </c>
      <c r="C23">
        <f t="shared" ca="1" si="0"/>
        <v>18</v>
      </c>
      <c r="D23" s="28"/>
      <c r="E23" s="28" t="str">
        <f>IFERROR(INDEX(п.13!$C$3:$C$20,MATCH(O23,п.13!$A$3:$A$20,0)),SUBSTITUTE(O23," - нельзя выбирать",""))</f>
        <v>—</v>
      </c>
      <c r="F23" s="28"/>
      <c r="G23" s="67" t="str">
        <f t="shared" si="1"/>
        <v/>
      </c>
      <c r="H23" s="88" t="s">
        <v>102</v>
      </c>
      <c r="I23" s="88"/>
      <c r="J23" s="88"/>
      <c r="K23" s="88"/>
      <c r="L23" s="88"/>
      <c r="M23" s="88"/>
      <c r="N23" s="88"/>
      <c r="O23" s="87" t="s">
        <v>1</v>
      </c>
      <c r="P23" s="87"/>
      <c r="Q23" s="87"/>
      <c r="R23" s="87"/>
      <c r="S23" s="87"/>
      <c r="T23" s="88" t="str">
        <f ca="1">IFERROR(VLOOKUP(E23,OFFSET(INDIRECT($B23&amp;"!C3"),0,0,C23,2),2,0),"-")</f>
        <v>Без КМЧ</v>
      </c>
      <c r="U23" s="88"/>
      <c r="V23" s="88"/>
      <c r="W23" s="88"/>
      <c r="X23" s="88"/>
      <c r="Y23" s="88"/>
      <c r="Z23" s="88"/>
      <c r="AA23" s="88"/>
      <c r="AB23" s="88"/>
      <c r="AC23" s="86"/>
      <c r="AD23" s="86"/>
      <c r="AE23" s="86"/>
      <c r="AF23" s="86"/>
      <c r="AG23" s="86"/>
    </row>
    <row r="24" spans="1:33" ht="38.4" customHeight="1">
      <c r="A24">
        <v>14</v>
      </c>
      <c r="B24" t="s">
        <v>229</v>
      </c>
      <c r="C24">
        <f t="shared" ca="1" si="0"/>
        <v>21</v>
      </c>
      <c r="D24" s="28"/>
      <c r="E24" s="28" t="str">
        <f>IFERROR(INDEX(п.14!$C$3:$C$23,MATCH(O24,п.14!$A$3:$A$23,0)),SUBSTITUTE(O24," - нельзя выбирать",""))</f>
        <v>К-13</v>
      </c>
      <c r="F24" s="28"/>
      <c r="G24" s="67" t="str">
        <f t="shared" si="1"/>
        <v/>
      </c>
      <c r="H24" s="88" t="s">
        <v>134</v>
      </c>
      <c r="I24" s="88"/>
      <c r="J24" s="88"/>
      <c r="K24" s="88"/>
      <c r="L24" s="88"/>
      <c r="M24" s="88"/>
      <c r="N24" s="88"/>
      <c r="O24" s="87" t="s">
        <v>135</v>
      </c>
      <c r="P24" s="87"/>
      <c r="Q24" s="87"/>
      <c r="R24" s="87"/>
      <c r="S24" s="87"/>
      <c r="T24" s="88" t="str">
        <f ca="1">IFERROR(VLOOKUP(E24,OFFSET(INDIRECT($B24&amp;"!C3"),0,0,C24,2),2,0),"-")</f>
        <v xml:space="preserve">Кабельный ввод для небронированного кабеля
(диаметр обжимаемого кабеля 6…13 мм)
</v>
      </c>
      <c r="U24" s="88"/>
      <c r="V24" s="88"/>
      <c r="W24" s="88"/>
      <c r="X24" s="88"/>
      <c r="Y24" s="88"/>
      <c r="Z24" s="88"/>
      <c r="AA24" s="88"/>
      <c r="AB24" s="88"/>
      <c r="AC24" s="86" t="str">
        <f>IFERROR(IF(VLOOKUP($E$24,п.14!$C$3:$F$23,4,0),"","НЕЛЬЗЯ"),"НЕЛЬЗЯ")</f>
        <v/>
      </c>
      <c r="AD24" s="86"/>
      <c r="AE24" s="86"/>
      <c r="AF24" s="86"/>
      <c r="AG24" s="86"/>
    </row>
    <row r="25" spans="1:33" ht="29.25" customHeight="1">
      <c r="A25">
        <v>15</v>
      </c>
      <c r="B25" t="s">
        <v>230</v>
      </c>
      <c r="C25">
        <f t="shared" ca="1" si="0"/>
        <v>3</v>
      </c>
      <c r="D25" s="28"/>
      <c r="E25" s="28" t="str">
        <f>IFERROR(INDEX(п.15!$C$3:$C$5,MATCH(O25,п.15!$A$3:$A$5,0)),SUBSTITUTE(O25," - нельзя выбирать",""))</f>
        <v>R</v>
      </c>
      <c r="F25" s="28"/>
      <c r="G25" s="67" t="str">
        <f t="shared" si="1"/>
        <v/>
      </c>
      <c r="H25" s="88" t="s">
        <v>177</v>
      </c>
      <c r="I25" s="88"/>
      <c r="J25" s="88"/>
      <c r="K25" s="88"/>
      <c r="L25" s="88"/>
      <c r="M25" s="88"/>
      <c r="N25" s="88"/>
      <c r="O25" s="87" t="s">
        <v>3</v>
      </c>
      <c r="P25" s="87"/>
      <c r="Q25" s="87"/>
      <c r="R25" s="87"/>
      <c r="S25" s="87"/>
      <c r="T25" s="88" t="str">
        <f ca="1">IFERROR(VLOOKUP(E25,OFFSET(INDIRECT($B25&amp;"!C3"),0,0,C25,2),2,0),"-")</f>
        <v>сухой контакт</v>
      </c>
      <c r="U25" s="88"/>
      <c r="V25" s="88"/>
      <c r="W25" s="88"/>
      <c r="X25" s="88"/>
      <c r="Y25" s="88"/>
      <c r="Z25" s="88"/>
      <c r="AA25" s="88"/>
      <c r="AB25" s="88"/>
      <c r="AC25" s="86" t="str">
        <f>IFERROR(IF(VLOOKUP($E$25,п.15!$C$3:$G$5,5,0),"","НЕЛЬЗЯ"),"")</f>
        <v/>
      </c>
      <c r="AD25" s="86"/>
      <c r="AE25" s="86"/>
      <c r="AF25" s="86"/>
      <c r="AG25" s="86"/>
    </row>
    <row r="26" spans="1:33" ht="29.25" customHeight="1">
      <c r="A26">
        <v>16</v>
      </c>
      <c r="B26" t="s">
        <v>231</v>
      </c>
      <c r="C26">
        <f t="shared" ca="1" si="0"/>
        <v>4</v>
      </c>
      <c r="D26" s="28"/>
      <c r="E26" s="28" t="str">
        <f>O26</f>
        <v>t4070</v>
      </c>
      <c r="F26" s="28"/>
      <c r="G26" s="67" t="str">
        <f t="shared" si="1"/>
        <v/>
      </c>
      <c r="H26" s="88" t="s">
        <v>182</v>
      </c>
      <c r="I26" s="88"/>
      <c r="J26" s="88"/>
      <c r="K26" s="88"/>
      <c r="L26" s="88"/>
      <c r="M26" s="88"/>
      <c r="N26" s="88"/>
      <c r="O26" s="87" t="s">
        <v>4</v>
      </c>
      <c r="P26" s="87"/>
      <c r="Q26" s="87"/>
      <c r="R26" s="87"/>
      <c r="S26" s="87"/>
      <c r="T26" s="88" t="str">
        <f ca="1">IFERROR(VLOOKUP(O26,OFFSET(INDIRECT($B26&amp;"!C3"),0,0,C26,2),2,0),"-")</f>
        <v>от минус 40 до плюс 70 °С</v>
      </c>
      <c r="U26" s="88"/>
      <c r="V26" s="88"/>
      <c r="W26" s="88"/>
      <c r="X26" s="88"/>
      <c r="Y26" s="88"/>
      <c r="Z26" s="88"/>
      <c r="AA26" s="88"/>
      <c r="AB26" s="88"/>
      <c r="AC26" s="98"/>
      <c r="AD26" s="98"/>
      <c r="AE26" s="98"/>
      <c r="AF26" s="98"/>
      <c r="AG26" s="98"/>
    </row>
    <row r="27" spans="1:33" ht="29.25" customHeight="1">
      <c r="A27">
        <v>17</v>
      </c>
      <c r="B27" t="s">
        <v>232</v>
      </c>
      <c r="C27">
        <f t="shared" ca="1" si="0"/>
        <v>3</v>
      </c>
      <c r="D27" s="28"/>
      <c r="E27" s="28">
        <f>O27</f>
        <v>0.6</v>
      </c>
      <c r="F27" s="28"/>
      <c r="G27" s="67" t="str">
        <f t="shared" si="1"/>
        <v/>
      </c>
      <c r="H27" s="88" t="s">
        <v>189</v>
      </c>
      <c r="I27" s="88"/>
      <c r="J27" s="88"/>
      <c r="K27" s="88"/>
      <c r="L27" s="88"/>
      <c r="M27" s="88"/>
      <c r="N27" s="88"/>
      <c r="O27" s="87">
        <v>0.6</v>
      </c>
      <c r="P27" s="87"/>
      <c r="Q27" s="87"/>
      <c r="R27" s="87"/>
      <c r="S27" s="87"/>
      <c r="T27" s="88" t="str">
        <f ca="1">IFERROR(VLOOKUP(O27,OFFSET(INDIRECT($B27&amp;"!C3"),0,0,C27,2),2,0),"-")</f>
        <v>МПа</v>
      </c>
      <c r="U27" s="88"/>
      <c r="V27" s="88"/>
      <c r="W27" s="88"/>
      <c r="X27" s="88"/>
      <c r="Y27" s="88"/>
      <c r="Z27" s="88"/>
      <c r="AA27" s="88"/>
      <c r="AB27" s="88"/>
      <c r="AC27" s="86"/>
      <c r="AD27" s="86"/>
      <c r="AE27" s="86"/>
      <c r="AF27" s="86"/>
      <c r="AG27" s="86"/>
    </row>
    <row r="29" spans="1:33">
      <c r="T29" s="59"/>
      <c r="AB29" s="58" t="s">
        <v>337</v>
      </c>
      <c r="AC29" s="114" t="s">
        <v>336</v>
      </c>
    </row>
  </sheetData>
  <mergeCells count="81">
    <mergeCell ref="H2:AG2"/>
    <mergeCell ref="H26:N26"/>
    <mergeCell ref="H24:N24"/>
    <mergeCell ref="H25:N25"/>
    <mergeCell ref="H27:N27"/>
    <mergeCell ref="AC7:AG7"/>
    <mergeCell ref="AC8:AG8"/>
    <mergeCell ref="AC10:AG10"/>
    <mergeCell ref="AC11:AG11"/>
    <mergeCell ref="AC12:AG12"/>
    <mergeCell ref="AC27:AG27"/>
    <mergeCell ref="AC14:AG14"/>
    <mergeCell ref="AC15:AG15"/>
    <mergeCell ref="AC20:AG20"/>
    <mergeCell ref="AC21:AG21"/>
    <mergeCell ref="AC22:AG22"/>
    <mergeCell ref="AC23:AG23"/>
    <mergeCell ref="H15:N15"/>
    <mergeCell ref="H20:N20"/>
    <mergeCell ref="H23:N23"/>
    <mergeCell ref="H10:N10"/>
    <mergeCell ref="H11:N11"/>
    <mergeCell ref="H12:N12"/>
    <mergeCell ref="H13:N13"/>
    <mergeCell ref="H14:N14"/>
    <mergeCell ref="O13:S13"/>
    <mergeCell ref="O14:S14"/>
    <mergeCell ref="O20:S20"/>
    <mergeCell ref="O10:S10"/>
    <mergeCell ref="O11:S11"/>
    <mergeCell ref="O12:S12"/>
    <mergeCell ref="T14:AB14"/>
    <mergeCell ref="T7:AB7"/>
    <mergeCell ref="T8:AB8"/>
    <mergeCell ref="H7:N7"/>
    <mergeCell ref="H8:N8"/>
    <mergeCell ref="H9:N9"/>
    <mergeCell ref="O7:S7"/>
    <mergeCell ref="O8:S8"/>
    <mergeCell ref="O9:S9"/>
    <mergeCell ref="AC9:AG9"/>
    <mergeCell ref="AC13:AG13"/>
    <mergeCell ref="T9:AB9"/>
    <mergeCell ref="T10:AB10"/>
    <mergeCell ref="T11:AB11"/>
    <mergeCell ref="T12:AB12"/>
    <mergeCell ref="T13:AB13"/>
    <mergeCell ref="O26:S26"/>
    <mergeCell ref="O27:S27"/>
    <mergeCell ref="AC24:AG24"/>
    <mergeCell ref="AC25:AG25"/>
    <mergeCell ref="AC26:AG26"/>
    <mergeCell ref="T26:AB26"/>
    <mergeCell ref="T27:AB27"/>
    <mergeCell ref="T22:AB22"/>
    <mergeCell ref="T16:AB16"/>
    <mergeCell ref="T17:AB17"/>
    <mergeCell ref="T18:AB18"/>
    <mergeCell ref="T19:AB19"/>
    <mergeCell ref="O23:S23"/>
    <mergeCell ref="O24:S24"/>
    <mergeCell ref="O25:S25"/>
    <mergeCell ref="T23:AB23"/>
    <mergeCell ref="T24:AB24"/>
    <mergeCell ref="T25:AB25"/>
    <mergeCell ref="H1:X1"/>
    <mergeCell ref="AC16:AG16"/>
    <mergeCell ref="O21:S21"/>
    <mergeCell ref="O22:S22"/>
    <mergeCell ref="H21:N21"/>
    <mergeCell ref="H22:N22"/>
    <mergeCell ref="AC17:AG17"/>
    <mergeCell ref="AC18:AG18"/>
    <mergeCell ref="AC19:AG19"/>
    <mergeCell ref="H16:N16"/>
    <mergeCell ref="H17:N17"/>
    <mergeCell ref="H18:N18"/>
    <mergeCell ref="H19:N19"/>
    <mergeCell ref="T15:AB15"/>
    <mergeCell ref="T20:AB20"/>
    <mergeCell ref="T21:AB21"/>
  </mergeCells>
  <dataValidations count="4">
    <dataValidation type="list" allowBlank="1" showInputMessage="1" showErrorMessage="1" sqref="O8:S8 O26:O27 O21 O15:O19" xr:uid="{00000000-0002-0000-0000-000000000000}">
      <formula1>OFFSET(INDIRECT($B8&amp;"!C3"),0,0,C8,1)</formula1>
    </dataValidation>
    <dataValidation type="list" allowBlank="1" showInputMessage="1" showErrorMessage="1" sqref="O9:S9 O22:S25 O20:S20 O13:S13 O11:S11" xr:uid="{00000000-0002-0000-0000-000001000000}">
      <formula1>OFFSET(INDIRECT($B9&amp;"!A3"),0,0,C9,1)</formula1>
    </dataValidation>
    <dataValidation type="list" allowBlank="1" sqref="O12:S12" xr:uid="{00000000-0002-0000-0000-000002000000}">
      <formula1>OFFSET(INDIRECT($B12&amp;"!A3"),0,0,C12,1)</formula1>
    </dataValidation>
    <dataValidation type="whole" errorStyle="warning" allowBlank="1" showErrorMessage="1" errorTitle="Уровень сигнализации" error="Уровень сигнализации не может быть больше монтажной длины" promptTitle="Уровень сигнализации" prompt="Уровень сигнализации не может быть больше монтажной длины" sqref="Q15:Q19" xr:uid="{00000000-0002-0000-0000-000003000000}">
      <formula1>0</formula1>
      <formula2>S15</formula2>
    </dataValidation>
  </dataValidations>
  <hyperlinks>
    <hyperlink ref="AC29" r:id="rId1" xr:uid="{2DEBFA5B-C903-4F06-AFAE-6F3DDD40DDC4}"/>
  </hyperlinks>
  <pageMargins left="0.25" right="0.25" top="0.75" bottom="0.75" header="0.3" footer="0.3"/>
  <pageSetup paperSize="9" scale="54" fitToHeight="0" orientation="landscape" r:id="rId2"/>
  <rowBreaks count="1" manualBreakCount="1">
    <brk id="29" max="33" man="1"/>
  </rowBreaks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B2:D5"/>
  <sheetViews>
    <sheetView zoomScale="90" zoomScaleNormal="90" workbookViewId="0">
      <pane ySplit="3" topLeftCell="A4" activePane="bottomLeft" state="frozen"/>
      <selection activeCell="E3" sqref="E3"/>
      <selection pane="bottomLeft" activeCell="E3" sqref="E3"/>
    </sheetView>
  </sheetViews>
  <sheetFormatPr defaultRowHeight="14.4"/>
  <cols>
    <col min="2" max="2" width="45.109375" customWidth="1"/>
    <col min="3" max="3" width="11.88671875" customWidth="1"/>
    <col min="4" max="4" width="50.88671875" customWidth="1"/>
  </cols>
  <sheetData>
    <row r="2" spans="2:4" ht="15.6">
      <c r="B2" s="1" t="s">
        <v>42</v>
      </c>
      <c r="C2" s="15" t="s">
        <v>41</v>
      </c>
      <c r="D2" s="2" t="s">
        <v>195</v>
      </c>
    </row>
    <row r="3" spans="2:4" ht="15.6">
      <c r="B3" s="1"/>
      <c r="C3" s="15" t="s">
        <v>1</v>
      </c>
      <c r="D3" s="2"/>
    </row>
    <row r="4" spans="2:4" ht="15.6">
      <c r="B4" s="1"/>
      <c r="C4" s="15" t="s">
        <v>284</v>
      </c>
      <c r="D4" s="15" t="s">
        <v>56</v>
      </c>
    </row>
    <row r="5" spans="2:4" ht="15.6">
      <c r="B5" s="1"/>
      <c r="C5" s="15" t="s">
        <v>285</v>
      </c>
      <c r="D5" s="15" t="s">
        <v>57</v>
      </c>
    </row>
  </sheetData>
  <sheetProtection password="CF50" sheet="1" objects="1" scenarios="1" formatRows="0" sort="0" autoFilter="0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J24"/>
  <sheetViews>
    <sheetView workbookViewId="0">
      <selection activeCell="D4" sqref="D4"/>
    </sheetView>
  </sheetViews>
  <sheetFormatPr defaultRowHeight="14.4"/>
  <cols>
    <col min="2" max="2" width="45.109375" customWidth="1"/>
    <col min="3" max="3" width="17" customWidth="1"/>
    <col min="4" max="4" width="63.109375" customWidth="1"/>
    <col min="5" max="5" width="73.6640625" customWidth="1"/>
    <col min="6" max="6" width="9.88671875" bestFit="1" customWidth="1"/>
    <col min="7" max="7" width="12.6640625" customWidth="1"/>
    <col min="10" max="10" width="12.33203125" customWidth="1"/>
  </cols>
  <sheetData>
    <row r="1" spans="1:10">
      <c r="E1" t="s">
        <v>293</v>
      </c>
      <c r="F1" s="5"/>
      <c r="G1" s="5"/>
    </row>
    <row r="2" spans="1:10" ht="15.6">
      <c r="B2" s="11" t="s">
        <v>42</v>
      </c>
      <c r="C2" s="3" t="s">
        <v>41</v>
      </c>
      <c r="D2" s="11"/>
      <c r="E2" s="11"/>
      <c r="F2" s="2" t="s">
        <v>206</v>
      </c>
      <c r="G2" s="5"/>
      <c r="H2" t="s">
        <v>198</v>
      </c>
      <c r="I2" t="s">
        <v>299</v>
      </c>
      <c r="J2" t="s">
        <v>298</v>
      </c>
    </row>
    <row r="3" spans="1:10" ht="31.2">
      <c r="A3" s="58" t="str">
        <f>IF(F3,C3,C3&amp;" - нельзя выбирать")</f>
        <v>1М20 - нельзя выбирать</v>
      </c>
      <c r="B3" s="11" t="s">
        <v>59</v>
      </c>
      <c r="C3" s="3" t="s">
        <v>60</v>
      </c>
      <c r="D3" s="11" t="s">
        <v>73</v>
      </c>
      <c r="E3" s="11" t="s">
        <v>84</v>
      </c>
      <c r="F3" s="2" t="b">
        <f>IFERROR(FIND('ЭЛЕМЕР-СПГ'!$O$13,E3)&gt;0,FALSE)</f>
        <v>0</v>
      </c>
      <c r="H3">
        <v>1</v>
      </c>
      <c r="I3" t="b">
        <f>IF(F3,ROW()-ROW($F$3)+1)</f>
        <v>0</v>
      </c>
      <c r="J3" t="str">
        <f>IFERROR(INDEX($C$3:$C$16,SMALL($I$3:$I$16,H3)),"")</f>
        <v>1М27</v>
      </c>
    </row>
    <row r="4" spans="1:10" ht="15.6">
      <c r="A4" s="58" t="str">
        <f t="shared" ref="A4" si="0">IF(F4,C4,C4&amp;" - нельзя выбирать")</f>
        <v>1М27</v>
      </c>
      <c r="B4" s="11"/>
      <c r="C4" s="84" t="s">
        <v>312</v>
      </c>
      <c r="D4" s="29" t="s">
        <v>311</v>
      </c>
      <c r="E4" s="29" t="s">
        <v>87</v>
      </c>
      <c r="F4" s="2" t="b">
        <f>IFERROR(FIND('ЭЛЕМЕР-СПГ'!$O$13,E4)&gt;0,FALSE)</f>
        <v>1</v>
      </c>
      <c r="H4">
        <v>2</v>
      </c>
      <c r="I4">
        <f t="shared" ref="I4" si="1">IF(F4,ROW()-ROW($F$3)+1)</f>
        <v>2</v>
      </c>
      <c r="J4" t="str">
        <f t="shared" ref="J4" si="2">IFERROR(INDEX($C$3:$C$16,SMALL($I$3:$I$16,H4)),"")</f>
        <v>1М272</v>
      </c>
    </row>
    <row r="5" spans="1:10" ht="31.2">
      <c r="A5" s="58" t="str">
        <f t="shared" ref="A5:A16" si="3">IF(F5,C5,C5&amp;" - нельзя выбирать")</f>
        <v>1М272</v>
      </c>
      <c r="B5" s="11"/>
      <c r="C5" s="84" t="s">
        <v>61</v>
      </c>
      <c r="D5" s="29" t="s">
        <v>74</v>
      </c>
      <c r="E5" s="29" t="s">
        <v>87</v>
      </c>
      <c r="F5" s="2" t="b">
        <f>IFERROR(FIND('ЭЛЕМЕР-СПГ'!$O$13,E5)&gt;0,FALSE)</f>
        <v>1</v>
      </c>
      <c r="H5">
        <v>2</v>
      </c>
      <c r="I5">
        <f t="shared" ref="I5:I16" si="4">IF(F5,ROW()-ROW($F$3)+1)</f>
        <v>3</v>
      </c>
      <c r="J5" t="str">
        <f t="shared" ref="J5:J16" si="5">IFERROR(INDEX($C$3:$C$16,SMALL($I$3:$I$16,H5)),"")</f>
        <v>1М272</v>
      </c>
    </row>
    <row r="6" spans="1:10" ht="31.2">
      <c r="A6" s="58" t="str">
        <f t="shared" si="3"/>
        <v>1М33 - нельзя выбирать</v>
      </c>
      <c r="B6" s="11"/>
      <c r="C6" s="3" t="s">
        <v>62</v>
      </c>
      <c r="D6" s="11" t="s">
        <v>75</v>
      </c>
      <c r="E6" s="11" t="s">
        <v>85</v>
      </c>
      <c r="F6" s="2" t="b">
        <f>IFERROR(FIND('ЭЛЕМЕР-СПГ'!$O$13,E6)&gt;0,FALSE)</f>
        <v>0</v>
      </c>
      <c r="H6">
        <v>3</v>
      </c>
      <c r="I6" t="b">
        <f t="shared" si="4"/>
        <v>0</v>
      </c>
      <c r="J6" t="str">
        <f t="shared" si="5"/>
        <v>1G34</v>
      </c>
    </row>
    <row r="7" spans="1:10" ht="15.6">
      <c r="A7" s="58" t="str">
        <f t="shared" si="3"/>
        <v>1G12 - нельзя выбирать</v>
      </c>
      <c r="B7" s="11"/>
      <c r="C7" s="3" t="s">
        <v>63</v>
      </c>
      <c r="D7" s="11" t="s">
        <v>76</v>
      </c>
      <c r="E7" s="11" t="s">
        <v>86</v>
      </c>
      <c r="F7" s="2" t="b">
        <f>IFERROR(FIND('ЭЛЕМЕР-СПГ'!$O$13,E7)&gt;0,FALSE)</f>
        <v>0</v>
      </c>
      <c r="H7">
        <v>4</v>
      </c>
      <c r="I7" t="b">
        <f t="shared" si="4"/>
        <v>0</v>
      </c>
      <c r="J7" t="str">
        <f t="shared" si="5"/>
        <v>1G10</v>
      </c>
    </row>
    <row r="8" spans="1:10" ht="31.2">
      <c r="A8" s="58" t="str">
        <f t="shared" si="3"/>
        <v>1G34</v>
      </c>
      <c r="B8" s="11"/>
      <c r="C8" s="3" t="s">
        <v>64</v>
      </c>
      <c r="D8" s="11" t="s">
        <v>77</v>
      </c>
      <c r="E8" s="11" t="s">
        <v>87</v>
      </c>
      <c r="F8" s="2" t="b">
        <f>IFERROR(FIND('ЭЛЕМЕР-СПГ'!$O$13,E8)&gt;0,FALSE)</f>
        <v>1</v>
      </c>
      <c r="H8">
        <v>5</v>
      </c>
      <c r="I8">
        <f t="shared" si="4"/>
        <v>6</v>
      </c>
      <c r="J8" t="str">
        <f t="shared" si="5"/>
        <v>D17</v>
      </c>
    </row>
    <row r="9" spans="1:10" ht="31.2">
      <c r="A9" s="58" t="str">
        <f t="shared" si="3"/>
        <v>1G10</v>
      </c>
      <c r="B9" s="11"/>
      <c r="C9" s="3" t="s">
        <v>65</v>
      </c>
      <c r="D9" s="11" t="s">
        <v>78</v>
      </c>
      <c r="E9" s="11" t="s">
        <v>31</v>
      </c>
      <c r="F9" s="2" t="b">
        <f>IFERROR(FIND('ЭЛЕМЕР-СПГ'!$O$13,E9)&gt;0,FALSE)</f>
        <v>1</v>
      </c>
      <c r="H9">
        <v>6</v>
      </c>
      <c r="I9">
        <f t="shared" si="4"/>
        <v>7</v>
      </c>
      <c r="J9" t="str">
        <f t="shared" si="5"/>
        <v>ХХ</v>
      </c>
    </row>
    <row r="10" spans="1:10" ht="31.2">
      <c r="A10" s="58" t="str">
        <f t="shared" si="3"/>
        <v>D15 - нельзя выбирать</v>
      </c>
      <c r="B10" s="11"/>
      <c r="C10" s="3" t="s">
        <v>66</v>
      </c>
      <c r="D10" s="11" t="s">
        <v>79</v>
      </c>
      <c r="E10" s="11" t="s">
        <v>86</v>
      </c>
      <c r="F10" s="2" t="b">
        <f>IFERROR(FIND('ЭЛЕМЕР-СПГ'!$O$13,E10)&gt;0,FALSE)</f>
        <v>0</v>
      </c>
      <c r="H10">
        <v>7</v>
      </c>
      <c r="I10" t="b">
        <f t="shared" si="4"/>
        <v>0</v>
      </c>
      <c r="J10" t="str">
        <f t="shared" si="5"/>
        <v>DNХХ-XX-X</v>
      </c>
    </row>
    <row r="11" spans="1:10" ht="31.2">
      <c r="A11" s="58" t="str">
        <f t="shared" si="3"/>
        <v>D16 - нельзя выбирать</v>
      </c>
      <c r="B11" s="11"/>
      <c r="C11" s="3" t="s">
        <v>67</v>
      </c>
      <c r="D11" s="11" t="s">
        <v>80</v>
      </c>
      <c r="E11" s="11" t="s">
        <v>88</v>
      </c>
      <c r="F11" s="2" t="b">
        <f>IFERROR(FIND('ЭЛЕМЕР-СПГ'!$O$13,E11)&gt;0,FALSE)</f>
        <v>0</v>
      </c>
      <c r="H11">
        <v>8</v>
      </c>
      <c r="I11" t="b">
        <f t="shared" si="4"/>
        <v>0</v>
      </c>
      <c r="J11" t="str">
        <f t="shared" si="5"/>
        <v/>
      </c>
    </row>
    <row r="12" spans="1:10" ht="31.2">
      <c r="A12" s="58" t="str">
        <f t="shared" si="3"/>
        <v>D17</v>
      </c>
      <c r="B12" s="11"/>
      <c r="C12" s="3" t="s">
        <v>68</v>
      </c>
      <c r="D12" s="11" t="s">
        <v>81</v>
      </c>
      <c r="E12" s="11" t="s">
        <v>58</v>
      </c>
      <c r="F12" s="2" t="b">
        <f>IFERROR(FIND('ЭЛЕМЕР-СПГ'!$O$13,E12)&gt;0,FALSE)</f>
        <v>1</v>
      </c>
      <c r="H12">
        <v>9</v>
      </c>
      <c r="I12">
        <f t="shared" si="4"/>
        <v>10</v>
      </c>
      <c r="J12" t="str">
        <f t="shared" si="5"/>
        <v/>
      </c>
    </row>
    <row r="13" spans="1:10" ht="31.2">
      <c r="A13" s="58" t="str">
        <f t="shared" si="3"/>
        <v>R2 - нельзя выбирать</v>
      </c>
      <c r="B13" s="11"/>
      <c r="C13" s="3" t="s">
        <v>69</v>
      </c>
      <c r="D13" s="11" t="s">
        <v>290</v>
      </c>
      <c r="E13" s="11" t="s">
        <v>89</v>
      </c>
      <c r="F13" s="2" t="b">
        <f>IFERROR(FIND('ЭЛЕМЕР-СПГ'!$O$13,E13)&gt;0,FALSE)</f>
        <v>0</v>
      </c>
      <c r="H13">
        <v>10</v>
      </c>
      <c r="I13" t="b">
        <f t="shared" si="4"/>
        <v>0</v>
      </c>
      <c r="J13" t="str">
        <f t="shared" si="5"/>
        <v/>
      </c>
    </row>
    <row r="14" spans="1:10" ht="31.2">
      <c r="A14" s="58" t="str">
        <f t="shared" si="3"/>
        <v>FХХ-ХХ - нельзя выбирать</v>
      </c>
      <c r="B14" s="11"/>
      <c r="C14" s="3" t="s">
        <v>70</v>
      </c>
      <c r="D14" s="11" t="s">
        <v>291</v>
      </c>
      <c r="E14" s="11" t="s">
        <v>90</v>
      </c>
      <c r="F14" s="2" t="b">
        <f>IFERROR(FIND('ЭЛЕМЕР-СПГ'!$O$13,E14)&gt;0,FALSE)</f>
        <v>0</v>
      </c>
      <c r="H14">
        <v>11</v>
      </c>
      <c r="I14" t="b">
        <f t="shared" si="4"/>
        <v>0</v>
      </c>
      <c r="J14" t="str">
        <f t="shared" si="5"/>
        <v/>
      </c>
    </row>
    <row r="15" spans="1:10" ht="15.6">
      <c r="A15" s="58" t="str">
        <f t="shared" si="3"/>
        <v>ХХ</v>
      </c>
      <c r="B15" s="11"/>
      <c r="C15" s="3" t="s">
        <v>71</v>
      </c>
      <c r="D15" s="11" t="s">
        <v>82</v>
      </c>
      <c r="E15" s="11" t="s">
        <v>292</v>
      </c>
      <c r="F15" s="2" t="b">
        <f>IFERROR(FIND('ЭЛЕМЕР-СПГ'!$O$13,E15)&gt;0,FALSE)</f>
        <v>1</v>
      </c>
      <c r="H15">
        <v>12</v>
      </c>
      <c r="I15">
        <f t="shared" si="4"/>
        <v>13</v>
      </c>
      <c r="J15" t="str">
        <f t="shared" si="5"/>
        <v/>
      </c>
    </row>
    <row r="16" spans="1:10" ht="31.2">
      <c r="A16" s="58" t="str">
        <f t="shared" si="3"/>
        <v>DNХХ-XX-X</v>
      </c>
      <c r="B16" s="11"/>
      <c r="C16" s="3" t="s">
        <v>72</v>
      </c>
      <c r="D16" s="11" t="s">
        <v>83</v>
      </c>
      <c r="E16" s="11" t="s">
        <v>87</v>
      </c>
      <c r="F16" s="2" t="b">
        <f>IFERROR(FIND('ЭЛЕМЕР-СПГ'!$O$13,E16)&gt;0,FALSE)</f>
        <v>1</v>
      </c>
      <c r="H16">
        <v>13</v>
      </c>
      <c r="I16">
        <f t="shared" si="4"/>
        <v>14</v>
      </c>
      <c r="J16" t="str">
        <f t="shared" si="5"/>
        <v/>
      </c>
    </row>
    <row r="17" spans="4:6">
      <c r="E17" s="5"/>
      <c r="F17" s="5"/>
    </row>
    <row r="18" spans="4:6" ht="15.6">
      <c r="D18" s="70" t="s">
        <v>300</v>
      </c>
      <c r="E18" s="5"/>
      <c r="F18" s="6"/>
    </row>
    <row r="19" spans="4:6" ht="15.6">
      <c r="D19" s="69" t="s">
        <v>70</v>
      </c>
      <c r="E19" s="5">
        <f>COUNTBLANK(J3:J16)</f>
        <v>6</v>
      </c>
      <c r="F19" s="6"/>
    </row>
    <row r="20" spans="4:6" ht="15.6">
      <c r="E20" s="5"/>
      <c r="F20" s="6"/>
    </row>
    <row r="21" spans="4:6" ht="15.6">
      <c r="E21" s="5"/>
      <c r="F21" s="6"/>
    </row>
    <row r="22" spans="4:6" ht="15.6">
      <c r="E22" s="5"/>
      <c r="F22" s="6"/>
    </row>
    <row r="23" spans="4:6">
      <c r="E23" s="5"/>
      <c r="F23" s="5"/>
    </row>
    <row r="24" spans="4:6">
      <c r="E24" s="5"/>
      <c r="F24" s="5"/>
    </row>
  </sheetData>
  <sheetProtection password="CF50" sheet="1" objects="1" scenarios="1" formatRows="0" sort="0" autoFilter="0"/>
  <conditionalFormatting sqref="F3 F5:F16">
    <cfRule type="expression" dxfId="13" priority="3">
      <formula>NOT(F3)</formula>
    </cfRule>
    <cfRule type="expression" dxfId="12" priority="4">
      <formula>F3</formula>
    </cfRule>
  </conditionalFormatting>
  <conditionalFormatting sqref="F4">
    <cfRule type="expression" dxfId="11" priority="1">
      <formula>NOT(F4)</formula>
    </cfRule>
    <cfRule type="expression" dxfId="10" priority="2">
      <formula>F4</formula>
    </cfRule>
  </conditionalFormatting>
  <dataValidations count="1">
    <dataValidation type="list" allowBlank="1" showInputMessage="1" showErrorMessage="1" sqref="D19" xr:uid="{00000000-0002-0000-0A00-000000000000}">
      <formula1>OFFSET($J$3,,,COUNTA($J$3:$J$16)-COUNTBLANK($J$3:$J$16),1)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B2:F23"/>
  <sheetViews>
    <sheetView workbookViewId="0">
      <selection activeCell="O13" sqref="O13:S13"/>
    </sheetView>
  </sheetViews>
  <sheetFormatPr defaultRowHeight="14.4"/>
  <cols>
    <col min="2" max="2" width="45.109375" customWidth="1"/>
    <col min="4" max="4" width="63.109375" customWidth="1"/>
    <col min="5" max="5" width="27.33203125" customWidth="1"/>
    <col min="6" max="6" width="73.33203125" customWidth="1"/>
  </cols>
  <sheetData>
    <row r="2" spans="2:6" ht="15">
      <c r="B2" s="13" t="s">
        <v>42</v>
      </c>
      <c r="C2" s="21" t="s">
        <v>41</v>
      </c>
      <c r="D2" s="13"/>
      <c r="E2" s="5"/>
      <c r="F2" s="5"/>
    </row>
    <row r="3" spans="2:6" ht="30">
      <c r="B3" s="13" t="s">
        <v>91</v>
      </c>
      <c r="C3" s="21" t="s">
        <v>92</v>
      </c>
      <c r="D3" s="13" t="s">
        <v>94</v>
      </c>
      <c r="E3" s="5"/>
      <c r="F3" s="5"/>
    </row>
    <row r="4" spans="2:6" ht="15.6">
      <c r="B4" s="13"/>
      <c r="C4" s="21" t="s">
        <v>93</v>
      </c>
      <c r="D4" s="13" t="s">
        <v>95</v>
      </c>
      <c r="E4" s="5"/>
      <c r="F4" s="6"/>
    </row>
    <row r="5" spans="2:6" ht="15.6">
      <c r="B5" s="5"/>
      <c r="C5" s="4"/>
      <c r="D5" s="4"/>
      <c r="E5" s="5"/>
      <c r="F5" s="6"/>
    </row>
    <row r="6" spans="2:6" ht="15.6">
      <c r="B6" s="5"/>
      <c r="C6" s="4"/>
      <c r="D6" s="4"/>
      <c r="E6" s="5"/>
      <c r="F6" s="6"/>
    </row>
    <row r="7" spans="2:6" ht="15.6">
      <c r="B7" s="5"/>
      <c r="C7" s="4"/>
      <c r="D7" s="4"/>
      <c r="E7" s="5"/>
      <c r="F7" s="6"/>
    </row>
    <row r="8" spans="2:6" ht="15.6">
      <c r="B8" s="5"/>
      <c r="C8" s="4"/>
      <c r="D8" s="4"/>
      <c r="E8" s="5"/>
      <c r="F8" s="6"/>
    </row>
    <row r="9" spans="2:6" ht="15.6">
      <c r="B9" s="5"/>
      <c r="C9" s="4"/>
      <c r="D9" s="4"/>
      <c r="E9" s="5"/>
      <c r="F9" s="6"/>
    </row>
    <row r="10" spans="2:6" ht="15.6">
      <c r="B10" s="5"/>
      <c r="C10" s="4"/>
      <c r="D10" s="4"/>
      <c r="E10" s="5"/>
      <c r="F10" s="6"/>
    </row>
    <row r="11" spans="2:6" ht="15.6">
      <c r="B11" s="5"/>
      <c r="C11" s="4"/>
      <c r="D11" s="4"/>
      <c r="E11" s="5"/>
      <c r="F11" s="6"/>
    </row>
    <row r="12" spans="2:6" ht="15.6">
      <c r="B12" s="5"/>
      <c r="C12" s="4"/>
      <c r="D12" s="4"/>
      <c r="E12" s="5"/>
      <c r="F12" s="6"/>
    </row>
    <row r="13" spans="2:6" ht="15.6">
      <c r="B13" s="5"/>
      <c r="C13" s="4"/>
      <c r="D13" s="4"/>
      <c r="E13" s="5"/>
      <c r="F13" s="6"/>
    </row>
    <row r="14" spans="2:6">
      <c r="E14" s="5"/>
      <c r="F14" s="5"/>
    </row>
    <row r="16" spans="2:6">
      <c r="E16" s="5"/>
      <c r="F16" s="5"/>
    </row>
    <row r="17" spans="5:6" ht="15.6">
      <c r="E17" s="5"/>
      <c r="F17" s="6"/>
    </row>
    <row r="18" spans="5:6" ht="15.6">
      <c r="E18" s="5"/>
      <c r="F18" s="6"/>
    </row>
    <row r="19" spans="5:6" ht="15.6">
      <c r="E19" s="5"/>
      <c r="F19" s="6"/>
    </row>
    <row r="20" spans="5:6" ht="15.6">
      <c r="E20" s="5"/>
      <c r="F20" s="6"/>
    </row>
    <row r="21" spans="5:6" ht="15.6">
      <c r="E21" s="5"/>
      <c r="F21" s="6"/>
    </row>
    <row r="22" spans="5:6">
      <c r="E22" s="5"/>
      <c r="F22" s="5"/>
    </row>
    <row r="23" spans="5:6">
      <c r="E23" s="5"/>
      <c r="F23" s="5"/>
    </row>
  </sheetData>
  <sheetProtection password="CF50" sheet="1" objects="1" scenarios="1" formatRows="0" sort="0" autoFilter="0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1:H23"/>
  <sheetViews>
    <sheetView workbookViewId="0">
      <selection activeCell="D7" sqref="D7"/>
    </sheetView>
  </sheetViews>
  <sheetFormatPr defaultRowHeight="14.4"/>
  <cols>
    <col min="2" max="2" width="45.109375" customWidth="1"/>
    <col min="4" max="4" width="62.88671875" customWidth="1"/>
    <col min="5" max="5" width="74.109375" customWidth="1"/>
    <col min="6" max="6" width="9.88671875" bestFit="1" customWidth="1"/>
    <col min="7" max="7" width="10.88671875" bestFit="1" customWidth="1"/>
  </cols>
  <sheetData>
    <row r="1" spans="1:8">
      <c r="F1" s="5"/>
    </row>
    <row r="2" spans="1:8" ht="15.6">
      <c r="B2" s="15" t="s">
        <v>42</v>
      </c>
      <c r="C2" s="15" t="s">
        <v>41</v>
      </c>
      <c r="D2" s="3"/>
      <c r="E2" s="15"/>
      <c r="F2" s="27" t="s">
        <v>206</v>
      </c>
      <c r="G2" s="27" t="s">
        <v>282</v>
      </c>
    </row>
    <row r="3" spans="1:8" ht="31.2">
      <c r="A3" s="58" t="str">
        <f>IF(F3,C3,C3&amp;" - нельзя выбирать")</f>
        <v>1 - нельзя выбирать</v>
      </c>
      <c r="B3" s="3" t="s">
        <v>279</v>
      </c>
      <c r="C3" s="15">
        <v>1</v>
      </c>
      <c r="D3" s="3" t="s">
        <v>96</v>
      </c>
      <c r="E3" s="16" t="s">
        <v>276</v>
      </c>
      <c r="F3" s="2" t="b">
        <f>IFERROR(FIND("«"&amp; 'ЭЛЕМЕР-СПГ'!$O$13 &amp;"»",E3)&gt;0,FALSE)</f>
        <v>0</v>
      </c>
      <c r="G3">
        <v>27</v>
      </c>
      <c r="H3" t="str">
        <f>IF(F3,C3,C3&amp;" - нельзя выбирать")</f>
        <v>1 - нельзя выбирать</v>
      </c>
    </row>
    <row r="4" spans="1:8" ht="31.2">
      <c r="A4" s="58" t="str">
        <f t="shared" ref="A4:A8" si="0">IF(F4,C4,C4&amp;" - нельзя выбирать")</f>
        <v>2 - нельзя выбирать</v>
      </c>
      <c r="B4" s="15"/>
      <c r="C4" s="15">
        <v>2</v>
      </c>
      <c r="D4" s="3" t="s">
        <v>97</v>
      </c>
      <c r="E4" s="16" t="s">
        <v>277</v>
      </c>
      <c r="F4" s="2" t="b">
        <f>IFERROR(FIND("«"&amp; 'ЭЛЕМЕР-СПГ'!$O$13 &amp;"»",E4)&gt;0,FALSE)</f>
        <v>0</v>
      </c>
      <c r="G4">
        <v>56</v>
      </c>
      <c r="H4" t="str">
        <f t="shared" ref="H4:H8" si="1">IF(F4,C4,C4&amp;" - нельзя выбирать")</f>
        <v>2 - нельзя выбирать</v>
      </c>
    </row>
    <row r="5" spans="1:8" ht="31.2">
      <c r="A5" s="58">
        <f t="shared" si="0"/>
        <v>3</v>
      </c>
      <c r="B5" s="15"/>
      <c r="C5" s="15">
        <v>3</v>
      </c>
      <c r="D5" s="3" t="s">
        <v>98</v>
      </c>
      <c r="E5" s="16" t="s">
        <v>213</v>
      </c>
      <c r="F5" s="2" t="b">
        <f>IFERROR(FIND("«"&amp; 'ЭЛЕМЕР-СПГ'!$O$13 &amp;"»",E5)&gt;0,FALSE)</f>
        <v>1</v>
      </c>
      <c r="G5">
        <v>100</v>
      </c>
      <c r="H5">
        <f t="shared" si="1"/>
        <v>3</v>
      </c>
    </row>
    <row r="6" spans="1:8" ht="31.2">
      <c r="A6" s="58">
        <f t="shared" si="0"/>
        <v>4</v>
      </c>
      <c r="B6" s="15"/>
      <c r="C6" s="15">
        <v>4</v>
      </c>
      <c r="D6" s="3" t="s">
        <v>99</v>
      </c>
      <c r="E6" s="16" t="s">
        <v>212</v>
      </c>
      <c r="F6" s="2" t="b">
        <f>IFERROR(FIND("«"&amp; 'ЭЛЕМЕР-СПГ'!$O$13 &amp;"»",E6)&gt;0,FALSE)</f>
        <v>1</v>
      </c>
      <c r="G6">
        <v>86</v>
      </c>
      <c r="H6">
        <f t="shared" si="1"/>
        <v>4</v>
      </c>
    </row>
    <row r="7" spans="1:8" ht="31.2">
      <c r="A7" s="58">
        <f t="shared" si="0"/>
        <v>5</v>
      </c>
      <c r="B7" s="15"/>
      <c r="C7" s="15">
        <v>5</v>
      </c>
      <c r="D7" s="3" t="s">
        <v>100</v>
      </c>
      <c r="E7" s="16" t="s">
        <v>212</v>
      </c>
      <c r="F7" s="2" t="b">
        <f>IFERROR(FIND("«"&amp; 'ЭЛЕМЕР-СПГ'!$O$13 &amp;"»",E7)&gt;0,FALSE)</f>
        <v>1</v>
      </c>
      <c r="G7">
        <v>123</v>
      </c>
      <c r="H7">
        <f t="shared" si="1"/>
        <v>5</v>
      </c>
    </row>
    <row r="8" spans="1:8" ht="31.2">
      <c r="A8" s="58" t="str">
        <f t="shared" si="0"/>
        <v>6 - нельзя выбирать</v>
      </c>
      <c r="B8" s="15"/>
      <c r="C8" s="15">
        <v>6</v>
      </c>
      <c r="D8" s="3" t="s">
        <v>101</v>
      </c>
      <c r="E8" s="16" t="s">
        <v>278</v>
      </c>
      <c r="F8" s="2" t="b">
        <f>IFERROR(FIND("«"&amp; 'ЭЛЕМЕР-СПГ'!$O$13 &amp;"»",E8)&gt;0,FALSE)</f>
        <v>0</v>
      </c>
      <c r="G8">
        <v>0</v>
      </c>
      <c r="H8" t="str">
        <f t="shared" si="1"/>
        <v>6 - нельзя выбирать</v>
      </c>
    </row>
    <row r="9" spans="1:8" ht="15.6">
      <c r="B9" s="5"/>
      <c r="C9" s="4"/>
      <c r="D9" s="4"/>
      <c r="E9" s="5"/>
      <c r="F9" s="6"/>
    </row>
    <row r="10" spans="1:8" ht="15.6">
      <c r="B10" s="5"/>
      <c r="C10" s="4"/>
      <c r="D10" s="4"/>
      <c r="E10" s="5"/>
      <c r="F10" s="6"/>
    </row>
    <row r="11" spans="1:8" ht="15.6">
      <c r="B11" s="5"/>
      <c r="C11" s="4"/>
      <c r="D11" s="4"/>
      <c r="E11" s="5"/>
      <c r="F11" s="6"/>
    </row>
    <row r="12" spans="1:8" ht="15.6">
      <c r="B12" s="5"/>
      <c r="C12" s="4"/>
      <c r="D12" s="4"/>
      <c r="E12" s="5"/>
      <c r="F12" s="6"/>
    </row>
    <row r="13" spans="1:8" ht="15.6">
      <c r="B13" s="5"/>
      <c r="C13" s="4"/>
      <c r="D13" s="4"/>
      <c r="E13" s="5"/>
      <c r="F13" s="6"/>
    </row>
    <row r="16" spans="1:8">
      <c r="E16" s="5"/>
      <c r="F16" s="5"/>
    </row>
    <row r="17" spans="5:6" ht="15.6">
      <c r="E17" s="5"/>
      <c r="F17" s="6"/>
    </row>
    <row r="18" spans="5:6" ht="15.6">
      <c r="E18" s="5"/>
      <c r="F18" s="6"/>
    </row>
    <row r="19" spans="5:6" ht="15.6">
      <c r="E19" s="5"/>
      <c r="F19" s="6"/>
    </row>
    <row r="20" spans="5:6" ht="15.6">
      <c r="E20" s="5"/>
      <c r="F20" s="6"/>
    </row>
    <row r="21" spans="5:6" ht="15.6">
      <c r="E21" s="5"/>
      <c r="F21" s="6"/>
    </row>
    <row r="22" spans="5:6">
      <c r="E22" s="5"/>
      <c r="F22" s="5"/>
    </row>
    <row r="23" spans="5:6">
      <c r="E23" s="5"/>
      <c r="F23" s="5"/>
    </row>
  </sheetData>
  <sheetProtection password="CF50" sheet="1" objects="1" scenarios="1" formatRows="0" sort="0" autoFilter="0"/>
  <conditionalFormatting sqref="F3:F8">
    <cfRule type="expression" dxfId="9" priority="1">
      <formula>NOT(F3)</formula>
    </cfRule>
    <cfRule type="expression" dxfId="8" priority="2">
      <formula>F3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G25"/>
  <sheetViews>
    <sheetView workbookViewId="0">
      <selection activeCell="E18" sqref="E18"/>
    </sheetView>
  </sheetViews>
  <sheetFormatPr defaultRowHeight="14.4"/>
  <cols>
    <col min="2" max="2" width="45.109375" customWidth="1"/>
    <col min="3" max="3" width="17" customWidth="1"/>
    <col min="4" max="4" width="63.109375" customWidth="1"/>
    <col min="5" max="5" width="73.6640625" customWidth="1"/>
    <col min="6" max="6" width="9.88671875" bestFit="1" customWidth="1"/>
  </cols>
  <sheetData>
    <row r="1" spans="1:7">
      <c r="F1" s="5"/>
      <c r="G1" s="5"/>
    </row>
    <row r="2" spans="1:7" ht="15.6">
      <c r="B2" s="11" t="s">
        <v>42</v>
      </c>
      <c r="C2" s="3" t="s">
        <v>41</v>
      </c>
      <c r="D2" s="11"/>
      <c r="E2" s="11" t="s">
        <v>329</v>
      </c>
      <c r="F2" s="27" t="s">
        <v>206</v>
      </c>
      <c r="G2" s="5"/>
    </row>
    <row r="3" spans="1:7" ht="46.8">
      <c r="A3" s="58" t="str">
        <f>IF(F3,C3,C3&amp;" - нельзя выбирать")</f>
        <v>—</v>
      </c>
      <c r="B3" s="11" t="s">
        <v>102</v>
      </c>
      <c r="C3" s="3" t="s">
        <v>1</v>
      </c>
      <c r="D3" s="11" t="s">
        <v>118</v>
      </c>
      <c r="E3" s="11"/>
      <c r="F3" s="2" t="b">
        <v>1</v>
      </c>
    </row>
    <row r="4" spans="1:7" ht="15.6">
      <c r="A4" s="58" t="str">
        <f t="shared" ref="A4:A20" si="0">IF(F4,C4,C4&amp;" - нельзя выбирать")</f>
        <v>БП1-М20-12 - нельзя выбирать</v>
      </c>
      <c r="B4" s="11"/>
      <c r="C4" s="3" t="s">
        <v>103</v>
      </c>
      <c r="D4" s="11" t="s">
        <v>119</v>
      </c>
      <c r="E4" s="11" t="s">
        <v>271</v>
      </c>
      <c r="F4" s="2" t="b">
        <f>IFERROR(FIND("«"&amp; 'ЭЛЕМЕР-СПГ'!$O$20 &amp;"»",E4)&gt;0,FALSE)</f>
        <v>0</v>
      </c>
    </row>
    <row r="5" spans="1:7" ht="15.6">
      <c r="A5" s="58" t="str">
        <f t="shared" si="0"/>
        <v>БП1-М20-20 - нельзя выбирать</v>
      </c>
      <c r="B5" s="11"/>
      <c r="C5" s="3" t="s">
        <v>104</v>
      </c>
      <c r="D5" s="11" t="s">
        <v>120</v>
      </c>
      <c r="E5" s="11" t="s">
        <v>271</v>
      </c>
      <c r="F5" s="2" t="b">
        <f>IFERROR(FIND("«"&amp; 'ЭЛЕМЕР-СПГ'!$O$20 &amp;"»",E5)&gt;0,FALSE)</f>
        <v>0</v>
      </c>
    </row>
    <row r="6" spans="1:7" ht="15.6">
      <c r="A6" s="58" t="str">
        <f t="shared" si="0"/>
        <v>БП1-М27-12 - нельзя выбирать</v>
      </c>
      <c r="B6" s="11"/>
      <c r="C6" s="3" t="s">
        <v>105</v>
      </c>
      <c r="D6" s="11" t="s">
        <v>121</v>
      </c>
      <c r="E6" s="11" t="s">
        <v>272</v>
      </c>
      <c r="F6" s="2" t="b">
        <f>IFERROR(FIND("«"&amp; 'ЭЛЕМЕР-СПГ'!$O$20 &amp;"»",E6)&gt;0,FALSE)</f>
        <v>0</v>
      </c>
    </row>
    <row r="7" spans="1:7" ht="15.6">
      <c r="A7" s="58" t="str">
        <f t="shared" ref="A7:A8" si="1">IF(F7,C7,C7&amp;" - нельзя выбирать")</f>
        <v>БП1-М271-12</v>
      </c>
      <c r="B7" s="11"/>
      <c r="C7" s="80" t="s">
        <v>313</v>
      </c>
      <c r="D7" s="11" t="s">
        <v>315</v>
      </c>
      <c r="E7" s="79" t="s">
        <v>330</v>
      </c>
      <c r="F7" s="2" t="b">
        <f>IFERROR(FIND("«"&amp; 'ЭЛЕМЕР-СПГ'!$O$20 &amp;"»",E7)&gt;0,FALSE)</f>
        <v>1</v>
      </c>
    </row>
    <row r="8" spans="1:7" ht="15.6">
      <c r="A8" s="58" t="str">
        <f t="shared" si="1"/>
        <v>БП1-М271-20 - нельзя выбирать</v>
      </c>
      <c r="B8" s="11"/>
      <c r="C8" s="80" t="s">
        <v>314</v>
      </c>
      <c r="D8" s="11" t="s">
        <v>316</v>
      </c>
      <c r="E8" s="79" t="s">
        <v>272</v>
      </c>
      <c r="F8" s="2" t="b">
        <f>IFERROR(FIND("«"&amp; 'ЭЛЕМЕР-СПГ'!$O$20 &amp;"»",E8)&gt;0,FALSE)</f>
        <v>0</v>
      </c>
    </row>
    <row r="9" spans="1:7" ht="15.6">
      <c r="A9" s="58" t="str">
        <f t="shared" si="0"/>
        <v>БП1-М27-20 - нельзя выбирать</v>
      </c>
      <c r="B9" s="11"/>
      <c r="C9" s="3" t="s">
        <v>106</v>
      </c>
      <c r="D9" s="11" t="s">
        <v>122</v>
      </c>
      <c r="E9" s="11" t="s">
        <v>272</v>
      </c>
      <c r="F9" s="2" t="b">
        <f>IFERROR(FIND("«"&amp; 'ЭЛЕМЕР-СПГ'!$O$20 &amp;"»",E9)&gt;0,FALSE)</f>
        <v>0</v>
      </c>
    </row>
    <row r="10" spans="1:7" ht="15.6">
      <c r="A10" s="58" t="str">
        <f t="shared" si="0"/>
        <v>БП1-М33-12 - нельзя выбирать</v>
      </c>
      <c r="B10" s="11"/>
      <c r="C10" s="3" t="s">
        <v>107</v>
      </c>
      <c r="D10" s="11" t="s">
        <v>123</v>
      </c>
      <c r="E10" s="11" t="s">
        <v>273</v>
      </c>
      <c r="F10" s="2" t="b">
        <f>IFERROR(FIND("«"&amp; 'ЭЛЕМЕР-СПГ'!$O$20 &amp;"»",E10)&gt;0,FALSE)</f>
        <v>0</v>
      </c>
    </row>
    <row r="11" spans="1:7" ht="15.6">
      <c r="A11" s="58" t="str">
        <f t="shared" si="0"/>
        <v>БП1-М33-20 - нельзя выбирать</v>
      </c>
      <c r="B11" s="11"/>
      <c r="C11" s="3" t="s">
        <v>108</v>
      </c>
      <c r="D11" s="11" t="s">
        <v>124</v>
      </c>
      <c r="E11" s="11" t="s">
        <v>273</v>
      </c>
      <c r="F11" s="2" t="b">
        <f>IFERROR(FIND("«"&amp; 'ЭЛЕМЕР-СПГ'!$O$20 &amp;"»",E11)&gt;0,FALSE)</f>
        <v>0</v>
      </c>
    </row>
    <row r="12" spans="1:7" ht="15.6">
      <c r="A12" s="58" t="str">
        <f t="shared" si="0"/>
        <v>БП1-G12-12 - нельзя выбирать</v>
      </c>
      <c r="B12" s="11"/>
      <c r="C12" s="3" t="s">
        <v>109</v>
      </c>
      <c r="D12" s="11" t="s">
        <v>125</v>
      </c>
      <c r="E12" s="11" t="s">
        <v>301</v>
      </c>
      <c r="F12" s="2" t="b">
        <f>IFERROR(FIND("«"&amp; 'ЭЛЕМЕР-СПГ'!$O$20 &amp;"»",E12)&gt;0,FALSE)</f>
        <v>0</v>
      </c>
    </row>
    <row r="13" spans="1:7" ht="15.6">
      <c r="A13" s="58" t="str">
        <f t="shared" si="0"/>
        <v>БП1- G12-20 - нельзя выбирать</v>
      </c>
      <c r="B13" s="11"/>
      <c r="C13" s="3" t="s">
        <v>110</v>
      </c>
      <c r="D13" s="11" t="s">
        <v>126</v>
      </c>
      <c r="E13" s="11" t="s">
        <v>301</v>
      </c>
      <c r="F13" s="2" t="b">
        <f>IFERROR(FIND("«"&amp; 'ЭЛЕМЕР-СПГ'!$O$20 &amp;"»",E13)&gt;0,FALSE)</f>
        <v>0</v>
      </c>
    </row>
    <row r="14" spans="1:7" ht="15.6">
      <c r="A14" s="58" t="str">
        <f t="shared" si="0"/>
        <v>БП1-G34-12 - нельзя выбирать</v>
      </c>
      <c r="B14" s="11"/>
      <c r="C14" s="3" t="s">
        <v>111</v>
      </c>
      <c r="D14" s="11" t="s">
        <v>127</v>
      </c>
      <c r="E14" s="11" t="s">
        <v>302</v>
      </c>
      <c r="F14" s="2" t="b">
        <f>IFERROR(FIND("«"&amp; 'ЭЛЕМЕР-СПГ'!$O$20 &amp;"»",E14)&gt;0,FALSE)</f>
        <v>0</v>
      </c>
    </row>
    <row r="15" spans="1:7" ht="15.6">
      <c r="A15" s="58" t="str">
        <f t="shared" si="0"/>
        <v>БП1-G34-20 - нельзя выбирать</v>
      </c>
      <c r="B15" s="11"/>
      <c r="C15" s="3" t="s">
        <v>112</v>
      </c>
      <c r="D15" s="11" t="s">
        <v>128</v>
      </c>
      <c r="E15" s="11" t="s">
        <v>302</v>
      </c>
      <c r="F15" s="2" t="b">
        <f>IFERROR(FIND("«"&amp; 'ЭЛЕМЕР-СПГ'!$O$20 &amp;"»",E15)&gt;0,FALSE)</f>
        <v>0</v>
      </c>
    </row>
    <row r="16" spans="1:7" ht="15.6">
      <c r="A16" s="58" t="str">
        <f t="shared" si="0"/>
        <v>БП1-G1-12 - нельзя выбирать</v>
      </c>
      <c r="B16" s="11"/>
      <c r="C16" s="3" t="s">
        <v>113</v>
      </c>
      <c r="D16" s="11" t="s">
        <v>129</v>
      </c>
      <c r="E16" s="11" t="s">
        <v>303</v>
      </c>
      <c r="F16" s="2" t="b">
        <f>IFERROR(FIND("«"&amp; 'ЭЛЕМЕР-СПГ'!$O$20 &amp;"»",E16)&gt;0,FALSE)</f>
        <v>0</v>
      </c>
    </row>
    <row r="17" spans="1:6" ht="15.6">
      <c r="A17" s="58" t="str">
        <f t="shared" si="0"/>
        <v>БП1- G1-20 - нельзя выбирать</v>
      </c>
      <c r="B17" s="11"/>
      <c r="C17" s="3" t="s">
        <v>114</v>
      </c>
      <c r="D17" s="11" t="s">
        <v>130</v>
      </c>
      <c r="E17" s="11" t="s">
        <v>303</v>
      </c>
      <c r="F17" s="2" t="b">
        <f>IFERROR(FIND("«"&amp; 'ЭЛЕМЕР-СПГ'!$O$20 &amp;"»",E17)&gt;0,FALSE)</f>
        <v>0</v>
      </c>
    </row>
    <row r="18" spans="1:6" ht="15.6">
      <c r="A18" s="58" t="str">
        <f t="shared" si="0"/>
        <v>G2 - нельзя выбирать</v>
      </c>
      <c r="B18" s="11"/>
      <c r="C18" s="3" t="s">
        <v>115</v>
      </c>
      <c r="D18" s="11" t="s">
        <v>131</v>
      </c>
      <c r="E18" s="11" t="s">
        <v>275</v>
      </c>
      <c r="F18" s="2" t="b">
        <f>IFERROR(FIND("«"&amp; 'ЭЛЕМЕР-СПГ'!$O$20 &amp;"»",E18)&gt;0,FALSE)</f>
        <v>0</v>
      </c>
    </row>
    <row r="19" spans="1:6" ht="46.8">
      <c r="A19" s="58" t="str">
        <f t="shared" si="0"/>
        <v>Х-ХХХ-Х - нельзя выбирать</v>
      </c>
      <c r="B19" s="11"/>
      <c r="C19" s="3" t="s">
        <v>116</v>
      </c>
      <c r="D19" s="11" t="s">
        <v>132</v>
      </c>
      <c r="E19" s="11" t="s">
        <v>274</v>
      </c>
      <c r="F19" s="2" t="b">
        <f>IFERROR(FIND("«"&amp; 'ЭЛЕМЕР-СПГ'!$O$20 &amp;"»",E19)&gt;0,FALSE)</f>
        <v>0</v>
      </c>
    </row>
    <row r="20" spans="1:6" ht="15.6">
      <c r="A20" s="58" t="str">
        <f t="shared" si="0"/>
        <v>DN-ХХ-ХХ - нельзя выбирать</v>
      </c>
      <c r="B20" s="11"/>
      <c r="C20" s="3" t="s">
        <v>117</v>
      </c>
      <c r="D20" s="11" t="s">
        <v>133</v>
      </c>
      <c r="E20" s="11" t="s">
        <v>274</v>
      </c>
      <c r="F20" s="2" t="b">
        <f>IFERROR(FIND("«"&amp; 'ЭЛЕМЕР-СПГ'!$O$20 &amp;"»",E20)&gt;0,FALSE)</f>
        <v>0</v>
      </c>
    </row>
    <row r="21" spans="1:6" ht="15.6">
      <c r="E21" s="5"/>
      <c r="F21" s="6"/>
    </row>
    <row r="22" spans="1:6" ht="15.6">
      <c r="E22" s="5"/>
      <c r="F22" s="6"/>
    </row>
    <row r="23" spans="1:6" ht="15.6">
      <c r="E23" s="5"/>
      <c r="F23" s="6"/>
    </row>
    <row r="24" spans="1:6">
      <c r="E24" s="5"/>
      <c r="F24" s="5"/>
    </row>
    <row r="25" spans="1:6">
      <c r="E25" s="5"/>
      <c r="F25" s="5"/>
    </row>
  </sheetData>
  <sheetProtection password="CF50" sheet="1" objects="1" scenarios="1" formatRows="0" sort="0" autoFilter="0"/>
  <conditionalFormatting sqref="F3:F20">
    <cfRule type="expression" dxfId="7" priority="1">
      <formula>NOT(F3)</formula>
    </cfRule>
    <cfRule type="expression" dxfId="6" priority="2">
      <formula>F3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:G23"/>
  <sheetViews>
    <sheetView workbookViewId="0">
      <selection activeCell="E4" sqref="E4:E23"/>
    </sheetView>
  </sheetViews>
  <sheetFormatPr defaultRowHeight="14.4"/>
  <cols>
    <col min="2" max="2" width="45.109375" customWidth="1"/>
    <col min="3" max="3" width="17" customWidth="1"/>
    <col min="4" max="4" width="63.109375" customWidth="1"/>
    <col min="5" max="5" width="76.33203125" customWidth="1"/>
    <col min="6" max="6" width="9.88671875" bestFit="1" customWidth="1"/>
  </cols>
  <sheetData>
    <row r="1" spans="1:7">
      <c r="F1" s="5"/>
      <c r="G1" s="5"/>
    </row>
    <row r="2" spans="1:7" ht="15.6">
      <c r="B2" s="11" t="s">
        <v>42</v>
      </c>
      <c r="C2" s="3" t="s">
        <v>41</v>
      </c>
      <c r="D2" s="11"/>
      <c r="E2" s="2"/>
      <c r="F2" s="2" t="s">
        <v>206</v>
      </c>
      <c r="G2" s="5"/>
    </row>
    <row r="3" spans="1:7" ht="93.6">
      <c r="A3" s="58" t="str">
        <f>IF(F3,C3,C3&amp;" - нельзя выбирать")</f>
        <v>PGM*</v>
      </c>
      <c r="B3" s="11" t="s">
        <v>134</v>
      </c>
      <c r="C3" s="3" t="s">
        <v>186</v>
      </c>
      <c r="D3" s="11" t="s">
        <v>155</v>
      </c>
      <c r="E3" s="34" t="s">
        <v>297</v>
      </c>
      <c r="F3" s="2" t="b">
        <f>IFERROR(FIND("«"&amp; 'ЭЛЕМЕР-СПГ'!$O$9 &amp;"»",E3)&gt;0,FALSE)</f>
        <v>1</v>
      </c>
      <c r="G3" t="str">
        <f>IF(F3,C3,C3&amp;" - нельзя выбирать")</f>
        <v>PGM*</v>
      </c>
    </row>
    <row r="4" spans="1:7" ht="46.8">
      <c r="A4" s="58" t="str">
        <f t="shared" ref="A4:A23" si="0">IF(F4,C4,C4&amp;" - нельзя выбирать")</f>
        <v>К-13</v>
      </c>
      <c r="B4" s="11"/>
      <c r="C4" s="3" t="s">
        <v>135</v>
      </c>
      <c r="D4" s="11" t="s">
        <v>156</v>
      </c>
      <c r="E4" s="111" t="s">
        <v>270</v>
      </c>
      <c r="F4" s="2" t="b">
        <v>1</v>
      </c>
      <c r="G4" t="str">
        <f t="shared" ref="G4:G23" si="1">IF(F4,C4,C4&amp;" - нельзя выбирать")</f>
        <v>К-13</v>
      </c>
    </row>
    <row r="5" spans="1:7" ht="62.4">
      <c r="A5" s="58" t="str">
        <f t="shared" si="0"/>
        <v>КБ-13</v>
      </c>
      <c r="B5" s="11"/>
      <c r="C5" s="3" t="s">
        <v>136</v>
      </c>
      <c r="D5" s="11" t="s">
        <v>157</v>
      </c>
      <c r="E5" s="111"/>
      <c r="F5" s="2" t="b">
        <v>1</v>
      </c>
      <c r="G5" t="str">
        <f t="shared" si="1"/>
        <v>КБ-13</v>
      </c>
    </row>
    <row r="6" spans="1:7" ht="62.4">
      <c r="A6" s="58" t="str">
        <f t="shared" si="0"/>
        <v>КБ-17</v>
      </c>
      <c r="B6" s="11"/>
      <c r="C6" s="3" t="s">
        <v>137</v>
      </c>
      <c r="D6" s="11" t="s">
        <v>158</v>
      </c>
      <c r="E6" s="111"/>
      <c r="F6" s="2" t="b">
        <v>1</v>
      </c>
      <c r="G6" t="str">
        <f t="shared" si="1"/>
        <v>КБ-17</v>
      </c>
    </row>
    <row r="7" spans="1:7" ht="62.4">
      <c r="A7" s="58" t="str">
        <f t="shared" si="0"/>
        <v>КТ-1/2</v>
      </c>
      <c r="B7" s="11"/>
      <c r="C7" s="3" t="s">
        <v>138</v>
      </c>
      <c r="D7" s="11" t="s">
        <v>159</v>
      </c>
      <c r="E7" s="111"/>
      <c r="F7" s="2" t="b">
        <v>1</v>
      </c>
      <c r="G7" t="str">
        <f t="shared" si="1"/>
        <v>КТ-1/2</v>
      </c>
    </row>
    <row r="8" spans="1:7" ht="62.4">
      <c r="A8" s="58" t="str">
        <f t="shared" si="0"/>
        <v>КТ-3/4</v>
      </c>
      <c r="B8" s="11"/>
      <c r="C8" s="3" t="s">
        <v>139</v>
      </c>
      <c r="D8" s="11" t="s">
        <v>160</v>
      </c>
      <c r="E8" s="111"/>
      <c r="F8" s="2" t="b">
        <v>1</v>
      </c>
      <c r="G8" t="str">
        <f t="shared" si="1"/>
        <v>КТ-3/4</v>
      </c>
    </row>
    <row r="9" spans="1:7" ht="62.4">
      <c r="A9" s="58" t="str">
        <f t="shared" si="0"/>
        <v>КВМ-15Вн</v>
      </c>
      <c r="B9" s="11"/>
      <c r="C9" s="3" t="s">
        <v>140</v>
      </c>
      <c r="D9" s="11" t="s">
        <v>161</v>
      </c>
      <c r="E9" s="111"/>
      <c r="F9" s="2" t="b">
        <v>1</v>
      </c>
      <c r="G9" t="str">
        <f t="shared" si="1"/>
        <v>КВМ-15Вн</v>
      </c>
    </row>
    <row r="10" spans="1:7" ht="62.4">
      <c r="A10" s="58" t="str">
        <f t="shared" si="0"/>
        <v>КВМ-16Вн</v>
      </c>
      <c r="B10" s="11"/>
      <c r="C10" s="3" t="s">
        <v>141</v>
      </c>
      <c r="D10" s="11" t="s">
        <v>162</v>
      </c>
      <c r="E10" s="111"/>
      <c r="F10" s="2" t="b">
        <v>1</v>
      </c>
      <c r="G10" t="str">
        <f t="shared" si="1"/>
        <v>КВМ-16Вн</v>
      </c>
    </row>
    <row r="11" spans="1:7" ht="62.4">
      <c r="A11" s="58" t="str">
        <f t="shared" si="0"/>
        <v>КВМ-20Вн</v>
      </c>
      <c r="B11" s="11"/>
      <c r="C11" s="3" t="s">
        <v>142</v>
      </c>
      <c r="D11" s="11" t="s">
        <v>163</v>
      </c>
      <c r="E11" s="111"/>
      <c r="F11" s="2" t="b">
        <v>1</v>
      </c>
      <c r="G11" t="str">
        <f t="shared" si="1"/>
        <v>КВМ-20Вн</v>
      </c>
    </row>
    <row r="12" spans="1:7" ht="62.4">
      <c r="A12" s="58" t="str">
        <f t="shared" si="0"/>
        <v>КВМ-22Вн</v>
      </c>
      <c r="B12" s="11"/>
      <c r="C12" s="3" t="s">
        <v>143</v>
      </c>
      <c r="D12" s="11" t="s">
        <v>164</v>
      </c>
      <c r="E12" s="111"/>
      <c r="F12" s="2" t="b">
        <v>1</v>
      </c>
      <c r="G12" t="str">
        <f t="shared" si="1"/>
        <v>КВМ-22Вн</v>
      </c>
    </row>
    <row r="13" spans="1:7" ht="15.6">
      <c r="A13" s="58" t="str">
        <f t="shared" si="0"/>
        <v>ЗР</v>
      </c>
      <c r="B13" s="11"/>
      <c r="C13" s="3" t="s">
        <v>144</v>
      </c>
      <c r="D13" s="11" t="s">
        <v>165</v>
      </c>
      <c r="E13" s="111"/>
      <c r="F13" s="2" t="b">
        <v>1</v>
      </c>
      <c r="G13" t="str">
        <f t="shared" si="1"/>
        <v>ЗР</v>
      </c>
    </row>
    <row r="14" spans="1:7" ht="62.4">
      <c r="A14" s="58" t="str">
        <f t="shared" si="0"/>
        <v>20 Pн Ni</v>
      </c>
      <c r="B14" s="11"/>
      <c r="C14" s="3" t="s">
        <v>145</v>
      </c>
      <c r="D14" s="11" t="s">
        <v>166</v>
      </c>
      <c r="E14" s="111"/>
      <c r="F14" s="2" t="b">
        <v>1</v>
      </c>
      <c r="G14" t="str">
        <f t="shared" si="1"/>
        <v>20 Pн Ni</v>
      </c>
    </row>
    <row r="15" spans="1:7" ht="78">
      <c r="A15" s="58" t="str">
        <f t="shared" si="0"/>
        <v>20 KHK Ni</v>
      </c>
      <c r="B15" s="11"/>
      <c r="C15" s="3" t="s">
        <v>146</v>
      </c>
      <c r="D15" s="11" t="s">
        <v>167</v>
      </c>
      <c r="E15" s="111"/>
      <c r="F15" s="2" t="b">
        <v>1</v>
      </c>
      <c r="G15" t="str">
        <f t="shared" si="1"/>
        <v>20 KHK Ni</v>
      </c>
    </row>
    <row r="16" spans="1:7" ht="78">
      <c r="A16" s="58" t="str">
        <f t="shared" si="0"/>
        <v>20 KHН Ni</v>
      </c>
      <c r="B16" s="11"/>
      <c r="C16" s="3" t="s">
        <v>147</v>
      </c>
      <c r="D16" s="11" t="s">
        <v>168</v>
      </c>
      <c r="E16" s="111"/>
      <c r="F16" s="2" t="b">
        <v>1</v>
      </c>
      <c r="G16" t="str">
        <f t="shared" si="1"/>
        <v>20 KHН Ni</v>
      </c>
    </row>
    <row r="17" spans="1:7" ht="78">
      <c r="A17" s="58" t="str">
        <f t="shared" si="0"/>
        <v>20 KБУ Ni</v>
      </c>
      <c r="B17" s="11"/>
      <c r="C17" s="3" t="s">
        <v>148</v>
      </c>
      <c r="D17" s="11" t="s">
        <v>169</v>
      </c>
      <c r="E17" s="111"/>
      <c r="F17" s="2" t="b">
        <v>1</v>
      </c>
      <c r="G17" t="str">
        <f t="shared" si="1"/>
        <v>20 KБУ Ni</v>
      </c>
    </row>
    <row r="18" spans="1:7" ht="78">
      <c r="A18" s="58" t="str">
        <f t="shared" si="0"/>
        <v>20 KНХ Ni</v>
      </c>
      <c r="B18" s="11"/>
      <c r="C18" s="3" t="s">
        <v>149</v>
      </c>
      <c r="D18" s="11" t="s">
        <v>170</v>
      </c>
      <c r="E18" s="111"/>
      <c r="F18" s="2" t="b">
        <v>1</v>
      </c>
      <c r="G18" t="str">
        <f t="shared" si="1"/>
        <v>20 KНХ Ni</v>
      </c>
    </row>
    <row r="19" spans="1:7" ht="78">
      <c r="A19" s="58" t="str">
        <f t="shared" si="0"/>
        <v>20 KНТ Ni</v>
      </c>
      <c r="B19" s="11"/>
      <c r="C19" s="3" t="s">
        <v>150</v>
      </c>
      <c r="D19" s="11" t="s">
        <v>171</v>
      </c>
      <c r="E19" s="111"/>
      <c r="F19" s="2" t="b">
        <v>1</v>
      </c>
      <c r="G19" t="str">
        <f t="shared" si="1"/>
        <v>20 KНТ Ni</v>
      </c>
    </row>
    <row r="20" spans="1:7" ht="78">
      <c r="A20" s="58" t="str">
        <f t="shared" si="0"/>
        <v>20s KMP 045 Ni</v>
      </c>
      <c r="B20" s="11"/>
      <c r="C20" s="3" t="s">
        <v>151</v>
      </c>
      <c r="D20" s="11" t="s">
        <v>172</v>
      </c>
      <c r="E20" s="111"/>
      <c r="F20" s="2" t="b">
        <v>1</v>
      </c>
      <c r="G20" t="str">
        <f t="shared" si="1"/>
        <v>20s KMP 045 Ni</v>
      </c>
    </row>
    <row r="21" spans="1:7" ht="78">
      <c r="A21" s="58" t="str">
        <f t="shared" si="0"/>
        <v>20 KMP 050 Ni</v>
      </c>
      <c r="B21" s="11"/>
      <c r="C21" s="3" t="s">
        <v>152</v>
      </c>
      <c r="D21" s="11" t="s">
        <v>173</v>
      </c>
      <c r="E21" s="111"/>
      <c r="F21" s="2" t="b">
        <v>1</v>
      </c>
      <c r="G21" t="str">
        <f t="shared" si="1"/>
        <v>20 KMP 050 Ni</v>
      </c>
    </row>
    <row r="22" spans="1:7" ht="78">
      <c r="A22" s="58" t="str">
        <f t="shared" si="0"/>
        <v>20 KMP 080 Ni</v>
      </c>
      <c r="B22" s="11"/>
      <c r="C22" s="3" t="s">
        <v>153</v>
      </c>
      <c r="D22" s="11" t="s">
        <v>174</v>
      </c>
      <c r="E22" s="111"/>
      <c r="F22" s="2" t="b">
        <v>1</v>
      </c>
      <c r="G22" t="str">
        <f t="shared" si="1"/>
        <v>20 KMP 080 Ni</v>
      </c>
    </row>
    <row r="23" spans="1:7" ht="46.8">
      <c r="A23" s="58" t="str">
        <f t="shared" si="0"/>
        <v>20 KМР 120 Ni</v>
      </c>
      <c r="B23" s="11"/>
      <c r="C23" s="3" t="s">
        <v>154</v>
      </c>
      <c r="D23" s="11" t="s">
        <v>175</v>
      </c>
      <c r="E23" s="111"/>
      <c r="F23" s="2" t="b">
        <v>1</v>
      </c>
      <c r="G23" t="str">
        <f t="shared" si="1"/>
        <v>20 KМР 120 Ni</v>
      </c>
    </row>
  </sheetData>
  <sheetProtection password="CF50" sheet="1" objects="1" scenarios="1" formatRows="0" sort="0" autoFilter="0"/>
  <mergeCells count="1">
    <mergeCell ref="E4:E23"/>
  </mergeCells>
  <conditionalFormatting sqref="F3:F23">
    <cfRule type="expression" dxfId="5" priority="1">
      <formula>NOT(F3)</formula>
    </cfRule>
    <cfRule type="expression" dxfId="4" priority="2">
      <formula>F3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/>
  <dimension ref="A1:H24"/>
  <sheetViews>
    <sheetView workbookViewId="0">
      <selection activeCell="G5" sqref="G5"/>
    </sheetView>
  </sheetViews>
  <sheetFormatPr defaultRowHeight="14.4"/>
  <cols>
    <col min="2" max="2" width="45.109375" customWidth="1"/>
    <col min="3" max="3" width="17" customWidth="1"/>
    <col min="4" max="4" width="14.5546875" bestFit="1" customWidth="1"/>
    <col min="5" max="6" width="73.6640625" customWidth="1"/>
    <col min="7" max="7" width="9.88671875" bestFit="1" customWidth="1"/>
  </cols>
  <sheetData>
    <row r="1" spans="1:8">
      <c r="H1" s="5"/>
    </row>
    <row r="2" spans="1:8" ht="15.6">
      <c r="B2" s="81" t="s">
        <v>42</v>
      </c>
      <c r="C2" s="82" t="s">
        <v>41</v>
      </c>
      <c r="D2" s="81" t="s">
        <v>195</v>
      </c>
      <c r="E2" s="81" t="s">
        <v>321</v>
      </c>
      <c r="F2" s="81" t="s">
        <v>322</v>
      </c>
      <c r="G2" s="83" t="s">
        <v>206</v>
      </c>
      <c r="H2" s="5"/>
    </row>
    <row r="3" spans="1:8" ht="15.6">
      <c r="A3" s="58" t="str">
        <f>IF(G3,C3,C3&amp;" - нельзя выбирать")</f>
        <v>R</v>
      </c>
      <c r="B3" s="1" t="s">
        <v>177</v>
      </c>
      <c r="C3" s="15" t="s">
        <v>3</v>
      </c>
      <c r="D3" s="1" t="s">
        <v>178</v>
      </c>
      <c r="E3" s="1" t="s">
        <v>179</v>
      </c>
      <c r="F3" s="2" t="s">
        <v>317</v>
      </c>
      <c r="G3" s="2" t="b">
        <f>IFERROR(FIND("«"&amp; 'ЭЛЕМЕР-СПГ'!$O$8 &amp;"»",E3)&gt;0,FALSE)</f>
        <v>1</v>
      </c>
    </row>
    <row r="4" spans="1:8" ht="15.6">
      <c r="A4" s="58" t="str">
        <f>IF(G4,C4,C4&amp;" - нельзя выбирать")</f>
        <v>N</v>
      </c>
      <c r="B4" s="1"/>
      <c r="C4" s="15" t="s">
        <v>176</v>
      </c>
      <c r="D4" s="1" t="s">
        <v>180</v>
      </c>
      <c r="E4" s="1" t="s">
        <v>181</v>
      </c>
      <c r="F4" s="2" t="s">
        <v>317</v>
      </c>
      <c r="G4" s="2" t="b">
        <f>IFERROR(FIND("«"&amp; 'ЭЛЕМЕР-СПГ'!$O$8 &amp;"»",E4)&gt;0,FALSE)</f>
        <v>1</v>
      </c>
    </row>
    <row r="5" spans="1:8" ht="15.6">
      <c r="A5" s="58" t="str">
        <f>IF(G5,C5,C5&amp;" - нельзя выбирать")</f>
        <v>RN - нельзя выбирать</v>
      </c>
      <c r="B5" s="1"/>
      <c r="C5" s="15" t="s">
        <v>310</v>
      </c>
      <c r="D5" s="1" t="s">
        <v>180</v>
      </c>
      <c r="E5" s="1" t="s">
        <v>181</v>
      </c>
      <c r="F5" s="2" t="s">
        <v>318</v>
      </c>
      <c r="G5" s="2" t="b">
        <f>IFERROR(AND(FIND("«"&amp; 'ЭЛЕМЕР-СПГ'!$O$8 &amp;"»",E5)&gt;0,FIND("«"&amp; 'ЭЛЕМЕР-СПГ'!$O$11 &amp;"»",F5)&gt;0),FALSE)</f>
        <v>0</v>
      </c>
    </row>
    <row r="6" spans="1:8" ht="15.6">
      <c r="B6" s="5"/>
      <c r="C6" s="20"/>
      <c r="D6" s="9"/>
      <c r="E6" s="17"/>
      <c r="F6" s="17"/>
      <c r="G6" s="5"/>
      <c r="H6" s="5"/>
    </row>
    <row r="7" spans="1:8" ht="15.6">
      <c r="B7" s="5"/>
      <c r="C7" s="20"/>
      <c r="D7" s="9"/>
      <c r="E7" s="17"/>
      <c r="F7" s="17"/>
      <c r="G7" s="6"/>
      <c r="H7" s="5"/>
    </row>
    <row r="8" spans="1:8" ht="15.6">
      <c r="B8" s="5"/>
      <c r="C8" s="20"/>
      <c r="D8" s="9"/>
      <c r="E8" s="17"/>
      <c r="F8" s="17"/>
      <c r="G8" s="6"/>
      <c r="H8" s="5"/>
    </row>
    <row r="9" spans="1:8" ht="15.6">
      <c r="B9" s="5"/>
      <c r="C9" s="20"/>
      <c r="D9" s="9"/>
      <c r="E9" s="17"/>
      <c r="F9" s="17"/>
      <c r="G9" s="6"/>
      <c r="H9" s="5"/>
    </row>
    <row r="10" spans="1:8" ht="15.6">
      <c r="B10" s="5"/>
      <c r="C10" s="20"/>
      <c r="D10" s="9"/>
      <c r="E10" s="17"/>
      <c r="F10" s="17"/>
      <c r="G10" s="5"/>
      <c r="H10" s="5"/>
    </row>
    <row r="11" spans="1:8" ht="15.6">
      <c r="B11" s="5"/>
      <c r="C11" s="20"/>
      <c r="D11" s="9"/>
      <c r="E11" s="17"/>
      <c r="F11" s="17"/>
      <c r="G11" s="6"/>
      <c r="H11" s="5"/>
    </row>
    <row r="12" spans="1:8" ht="15.6">
      <c r="B12" s="5"/>
      <c r="C12" s="20"/>
      <c r="D12" s="9"/>
      <c r="E12" s="17"/>
      <c r="F12" s="17"/>
      <c r="G12" s="6"/>
      <c r="H12" s="5"/>
    </row>
    <row r="13" spans="1:8" ht="15.6">
      <c r="B13" s="5"/>
      <c r="C13" s="20"/>
      <c r="D13" s="9"/>
      <c r="E13" s="17"/>
      <c r="F13" s="17"/>
      <c r="G13" s="6"/>
      <c r="H13" s="5"/>
    </row>
    <row r="14" spans="1:8" ht="15.6">
      <c r="B14" s="5"/>
      <c r="C14" s="20"/>
      <c r="D14" s="9"/>
      <c r="E14" s="18"/>
      <c r="F14" s="18"/>
      <c r="G14" s="6"/>
      <c r="H14" s="5"/>
    </row>
    <row r="15" spans="1:8" ht="15.6">
      <c r="B15" s="5"/>
      <c r="C15" s="20"/>
      <c r="D15" s="9"/>
      <c r="E15" s="19"/>
      <c r="F15" s="19"/>
      <c r="G15" s="5"/>
      <c r="H15" s="5"/>
    </row>
    <row r="16" spans="1:8" ht="15.6">
      <c r="B16" s="5"/>
      <c r="C16" s="20"/>
      <c r="D16" s="9"/>
      <c r="E16" s="17"/>
      <c r="F16" s="17"/>
      <c r="G16" s="5"/>
      <c r="H16" s="5"/>
    </row>
    <row r="17" spans="2:7">
      <c r="B17" s="5"/>
      <c r="C17" s="5"/>
      <c r="D17" s="5"/>
      <c r="E17" s="5"/>
      <c r="F17" s="5"/>
      <c r="G17" s="5"/>
    </row>
    <row r="18" spans="2:7" ht="15.6">
      <c r="E18" s="5"/>
      <c r="F18" s="5"/>
      <c r="G18" s="6"/>
    </row>
    <row r="19" spans="2:7" ht="15.6">
      <c r="E19" s="5"/>
      <c r="F19" s="5"/>
      <c r="G19" s="6"/>
    </row>
    <row r="20" spans="2:7" ht="15.6">
      <c r="E20" s="5"/>
      <c r="F20" s="5"/>
      <c r="G20" s="6"/>
    </row>
    <row r="21" spans="2:7" ht="15.6">
      <c r="E21" s="5"/>
      <c r="F21" s="5"/>
      <c r="G21" s="6"/>
    </row>
    <row r="22" spans="2:7" ht="15.6">
      <c r="E22" s="5"/>
      <c r="F22" s="5"/>
      <c r="G22" s="6"/>
    </row>
    <row r="23" spans="2:7">
      <c r="E23" s="5"/>
      <c r="F23" s="5"/>
      <c r="G23" s="5"/>
    </row>
    <row r="24" spans="2:7">
      <c r="E24" s="5"/>
      <c r="F24" s="5"/>
      <c r="G24" s="5"/>
    </row>
  </sheetData>
  <sheetProtection password="CF50" sheet="1" objects="1" scenarios="1" formatRows="0" sort="0" autoFilter="0"/>
  <conditionalFormatting sqref="G3 G5">
    <cfRule type="expression" dxfId="3" priority="3">
      <formula>NOT(G3)</formula>
    </cfRule>
    <cfRule type="expression" dxfId="2" priority="4">
      <formula>G3</formula>
    </cfRule>
  </conditionalFormatting>
  <conditionalFormatting sqref="G4">
    <cfRule type="expression" dxfId="1" priority="1">
      <formula>NOT(G4)</formula>
    </cfRule>
    <cfRule type="expression" dxfId="0" priority="2">
      <formula>G4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/>
  <dimension ref="B1:G23"/>
  <sheetViews>
    <sheetView workbookViewId="0">
      <selection activeCell="E3" sqref="E3"/>
    </sheetView>
  </sheetViews>
  <sheetFormatPr defaultRowHeight="14.4"/>
  <cols>
    <col min="2" max="2" width="45.109375" customWidth="1"/>
    <col min="3" max="3" width="17" customWidth="1"/>
    <col min="4" max="4" width="63.109375" customWidth="1"/>
    <col min="5" max="5" width="73.6640625" customWidth="1"/>
    <col min="6" max="6" width="42.5546875" customWidth="1"/>
  </cols>
  <sheetData>
    <row r="1" spans="2:7">
      <c r="F1" s="5"/>
      <c r="G1" s="5"/>
    </row>
    <row r="2" spans="2:7" ht="15.6">
      <c r="B2" s="12" t="s">
        <v>42</v>
      </c>
      <c r="C2" s="15" t="s">
        <v>41</v>
      </c>
      <c r="D2" s="12"/>
      <c r="E2" s="20"/>
      <c r="F2" s="5"/>
      <c r="G2" s="5"/>
    </row>
    <row r="3" spans="2:7" ht="15.6">
      <c r="B3" s="12" t="s">
        <v>182</v>
      </c>
      <c r="C3" s="15" t="s">
        <v>4</v>
      </c>
      <c r="D3" s="14" t="s">
        <v>187</v>
      </c>
      <c r="E3" s="20"/>
      <c r="F3" s="5"/>
      <c r="G3" s="5"/>
    </row>
    <row r="4" spans="2:7" ht="15.6">
      <c r="B4" s="12"/>
      <c r="C4" s="15" t="s">
        <v>183</v>
      </c>
      <c r="D4" s="14" t="s">
        <v>188</v>
      </c>
      <c r="E4" s="20"/>
      <c r="F4" s="5"/>
      <c r="G4" s="5"/>
    </row>
    <row r="5" spans="2:7" ht="15.6">
      <c r="B5" s="12"/>
      <c r="C5" s="15" t="s">
        <v>184</v>
      </c>
      <c r="D5" s="14" t="s">
        <v>187</v>
      </c>
      <c r="E5" s="20"/>
      <c r="F5" s="5"/>
      <c r="G5" s="5"/>
    </row>
    <row r="6" spans="2:7" ht="15.6">
      <c r="B6" s="12"/>
      <c r="C6" s="15" t="s">
        <v>185</v>
      </c>
      <c r="D6" s="14" t="s">
        <v>188</v>
      </c>
      <c r="E6" s="20"/>
      <c r="F6" s="6"/>
      <c r="G6" s="5"/>
    </row>
    <row r="7" spans="2:7" ht="15.6">
      <c r="B7" s="5"/>
      <c r="C7" s="20"/>
      <c r="D7" s="9"/>
      <c r="E7" s="17"/>
      <c r="F7" s="6"/>
      <c r="G7" s="5"/>
    </row>
    <row r="8" spans="2:7" ht="15.6">
      <c r="B8" s="5"/>
      <c r="C8" s="20"/>
      <c r="D8" s="9"/>
      <c r="E8" s="17"/>
      <c r="F8" s="6"/>
      <c r="G8" s="5"/>
    </row>
    <row r="9" spans="2:7" ht="15.6">
      <c r="B9" s="5"/>
      <c r="C9" s="20"/>
      <c r="D9" s="9"/>
      <c r="E9" s="17"/>
      <c r="F9" s="5"/>
      <c r="G9" s="5"/>
    </row>
    <row r="10" spans="2:7" ht="15.6">
      <c r="B10" s="5"/>
      <c r="C10" s="20"/>
      <c r="D10" s="9"/>
      <c r="E10" s="17"/>
      <c r="F10" s="6"/>
      <c r="G10" s="5"/>
    </row>
    <row r="11" spans="2:7" ht="15.6">
      <c r="B11" s="5"/>
      <c r="C11" s="20"/>
      <c r="D11" s="9"/>
      <c r="E11" s="17"/>
      <c r="F11" s="6"/>
      <c r="G11" s="5"/>
    </row>
    <row r="12" spans="2:7" ht="15.6">
      <c r="B12" s="5"/>
      <c r="C12" s="20"/>
      <c r="D12" s="9"/>
      <c r="E12" s="17"/>
      <c r="F12" s="6"/>
      <c r="G12" s="5"/>
    </row>
    <row r="13" spans="2:7" ht="15.6">
      <c r="B13" s="5"/>
      <c r="C13" s="20"/>
      <c r="D13" s="9"/>
      <c r="E13" s="18"/>
      <c r="F13" s="6"/>
      <c r="G13" s="5"/>
    </row>
    <row r="14" spans="2:7" ht="15.6">
      <c r="B14" s="5"/>
      <c r="C14" s="20"/>
      <c r="D14" s="9"/>
      <c r="E14" s="19"/>
      <c r="F14" s="5"/>
      <c r="G14" s="5"/>
    </row>
    <row r="15" spans="2:7" ht="15.6">
      <c r="B15" s="5"/>
      <c r="C15" s="20"/>
      <c r="D15" s="9"/>
      <c r="E15" s="17"/>
      <c r="F15" s="5"/>
      <c r="G15" s="5"/>
    </row>
    <row r="16" spans="2:7">
      <c r="B16" s="5"/>
      <c r="C16" s="5"/>
      <c r="D16" s="5"/>
      <c r="E16" s="5"/>
      <c r="F16" s="5"/>
    </row>
    <row r="17" spans="5:6" ht="15.6">
      <c r="E17" s="5"/>
      <c r="F17" s="6"/>
    </row>
    <row r="18" spans="5:6" ht="15.6">
      <c r="E18" s="5"/>
      <c r="F18" s="6"/>
    </row>
    <row r="19" spans="5:6" ht="15.6">
      <c r="E19" s="5"/>
      <c r="F19" s="6"/>
    </row>
    <row r="20" spans="5:6" ht="15.6">
      <c r="E20" s="5"/>
      <c r="F20" s="6"/>
    </row>
    <row r="21" spans="5:6" ht="15.6">
      <c r="E21" s="5"/>
      <c r="F21" s="6"/>
    </row>
    <row r="22" spans="5:6">
      <c r="E22" s="5"/>
      <c r="F22" s="5"/>
    </row>
    <row r="23" spans="5:6">
      <c r="E23" s="5"/>
      <c r="F23" s="5"/>
    </row>
  </sheetData>
  <sheetProtection password="CF50" sheet="1" objects="1" scenarios="1" formatRows="0" sort="0" autoFilter="0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/>
  <dimension ref="B1:G23"/>
  <sheetViews>
    <sheetView workbookViewId="0">
      <selection activeCell="E3" sqref="E3"/>
    </sheetView>
  </sheetViews>
  <sheetFormatPr defaultRowHeight="14.4"/>
  <cols>
    <col min="2" max="2" width="45.109375" customWidth="1"/>
    <col min="3" max="3" width="17" customWidth="1"/>
    <col min="4" max="4" width="63.109375" customWidth="1"/>
    <col min="5" max="5" width="73.6640625" customWidth="1"/>
    <col min="6" max="6" width="42.5546875" customWidth="1"/>
  </cols>
  <sheetData>
    <row r="1" spans="2:7">
      <c r="F1" s="5"/>
      <c r="G1" s="5"/>
    </row>
    <row r="2" spans="2:7" ht="15.6">
      <c r="B2" s="15" t="s">
        <v>42</v>
      </c>
      <c r="C2" s="15" t="s">
        <v>41</v>
      </c>
      <c r="D2" s="15"/>
      <c r="E2" s="20"/>
      <c r="F2" s="5"/>
      <c r="G2" s="5"/>
    </row>
    <row r="3" spans="2:7" ht="31.2">
      <c r="B3" s="8" t="s">
        <v>189</v>
      </c>
      <c r="C3" s="15">
        <v>0.6</v>
      </c>
      <c r="D3" s="1" t="s">
        <v>199</v>
      </c>
      <c r="E3" s="20"/>
      <c r="F3" s="5"/>
      <c r="G3" s="5"/>
    </row>
    <row r="4" spans="2:7" ht="15.6">
      <c r="B4" s="12"/>
      <c r="C4" s="15">
        <v>1.6</v>
      </c>
      <c r="D4" s="1" t="s">
        <v>199</v>
      </c>
      <c r="E4" s="20"/>
      <c r="F4" s="5"/>
      <c r="G4" s="5"/>
    </row>
    <row r="5" spans="2:7" ht="15.6">
      <c r="B5" s="12"/>
      <c r="C5" s="15">
        <v>2.5</v>
      </c>
      <c r="D5" s="1" t="s">
        <v>200</v>
      </c>
      <c r="E5" s="20"/>
      <c r="F5" s="5"/>
      <c r="G5" s="5"/>
    </row>
    <row r="6" spans="2:7" ht="15.6">
      <c r="B6" s="20"/>
      <c r="C6" s="20"/>
      <c r="D6" s="22"/>
      <c r="E6" s="20"/>
      <c r="F6" s="6"/>
      <c r="G6" s="5"/>
    </row>
    <row r="7" spans="2:7" ht="15.6">
      <c r="B7" s="5"/>
      <c r="C7" s="20"/>
      <c r="D7" s="9"/>
      <c r="E7" s="17"/>
      <c r="F7" s="6"/>
      <c r="G7" s="5"/>
    </row>
    <row r="8" spans="2:7" ht="15.6">
      <c r="B8" s="5"/>
      <c r="C8" s="20"/>
      <c r="D8" s="9"/>
      <c r="E8" s="17"/>
      <c r="F8" s="6"/>
      <c r="G8" s="5"/>
    </row>
    <row r="9" spans="2:7" ht="15.6">
      <c r="B9" s="5"/>
      <c r="C9" s="20"/>
      <c r="D9" s="9"/>
      <c r="E9" s="17"/>
      <c r="F9" s="5"/>
      <c r="G9" s="5"/>
    </row>
    <row r="10" spans="2:7" ht="15.6">
      <c r="B10" s="5"/>
      <c r="C10" s="20"/>
      <c r="D10" s="9"/>
      <c r="E10" s="17"/>
      <c r="F10" s="6"/>
      <c r="G10" s="5"/>
    </row>
    <row r="11" spans="2:7" ht="15.6">
      <c r="B11" s="5"/>
      <c r="C11" s="20"/>
      <c r="D11" s="9"/>
      <c r="E11" s="17"/>
      <c r="F11" s="6"/>
      <c r="G11" s="5"/>
    </row>
    <row r="12" spans="2:7" ht="15.6">
      <c r="B12" s="5"/>
      <c r="C12" s="20"/>
      <c r="D12" s="9"/>
      <c r="E12" s="17"/>
      <c r="F12" s="6"/>
      <c r="G12" s="5"/>
    </row>
    <row r="13" spans="2:7" ht="15.6">
      <c r="B13" s="5"/>
      <c r="C13" s="20"/>
      <c r="D13" s="9"/>
      <c r="E13" s="18"/>
      <c r="F13" s="6"/>
      <c r="G13" s="5"/>
    </row>
    <row r="14" spans="2:7" ht="15.6">
      <c r="B14" s="5"/>
      <c r="C14" s="20"/>
      <c r="D14" s="9"/>
      <c r="E14" s="19"/>
      <c r="F14" s="5"/>
      <c r="G14" s="5"/>
    </row>
    <row r="15" spans="2:7" ht="15.6">
      <c r="B15" s="5"/>
      <c r="C15" s="20"/>
      <c r="D15" s="9"/>
      <c r="E15" s="17"/>
      <c r="F15" s="5"/>
      <c r="G15" s="5"/>
    </row>
    <row r="16" spans="2:7">
      <c r="B16" s="5"/>
      <c r="C16" s="5"/>
      <c r="D16" s="5"/>
      <c r="E16" s="5"/>
      <c r="F16" s="5"/>
    </row>
    <row r="17" spans="5:6" ht="15.6">
      <c r="E17" s="5"/>
      <c r="F17" s="6"/>
    </row>
    <row r="18" spans="5:6" ht="15.6">
      <c r="E18" s="5"/>
      <c r="F18" s="6"/>
    </row>
    <row r="19" spans="5:6" ht="15.6">
      <c r="E19" s="5"/>
      <c r="F19" s="6"/>
    </row>
    <row r="20" spans="5:6" ht="15.6">
      <c r="E20" s="5"/>
      <c r="F20" s="6"/>
    </row>
    <row r="21" spans="5:6" ht="15.6">
      <c r="E21" s="5"/>
      <c r="F21" s="6"/>
    </row>
    <row r="22" spans="5:6">
      <c r="E22" s="5"/>
      <c r="F22" s="5"/>
    </row>
    <row r="23" spans="5:6">
      <c r="E23" s="5"/>
      <c r="F23" s="5"/>
    </row>
  </sheetData>
  <sheetProtection password="CF50" sheet="1" objects="1" scenarios="1" formatRows="0" sort="0" autoFilter="0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/>
  <dimension ref="C2:F7"/>
  <sheetViews>
    <sheetView showGridLines="0" topLeftCell="A4" zoomScale="85" zoomScaleNormal="85" workbookViewId="0">
      <selection activeCell="E6" sqref="E6"/>
    </sheetView>
  </sheetViews>
  <sheetFormatPr defaultRowHeight="14.4"/>
  <cols>
    <col min="4" max="4" width="48.44140625" customWidth="1"/>
  </cols>
  <sheetData>
    <row r="2" spans="3:6">
      <c r="C2" s="55" t="s">
        <v>295</v>
      </c>
      <c r="D2" t="s">
        <v>294</v>
      </c>
      <c r="F2">
        <f ca="1">OFFSET(C2,MATCH('ЭЛЕМЕР-СПГ'!$O$13,Фото!$C$3:$C$7,0),1)</f>
        <v>0</v>
      </c>
    </row>
    <row r="3" spans="3:6" ht="230.1" customHeight="1">
      <c r="C3" s="55" t="s">
        <v>32</v>
      </c>
    </row>
    <row r="4" spans="3:6" ht="230.1" customHeight="1">
      <c r="C4" s="55" t="s">
        <v>33</v>
      </c>
    </row>
    <row r="5" spans="3:6" ht="230.1" customHeight="1">
      <c r="C5" s="56" t="s">
        <v>2</v>
      </c>
    </row>
    <row r="6" spans="3:6" ht="230.1" customHeight="1">
      <c r="C6" s="56" t="s">
        <v>34</v>
      </c>
    </row>
    <row r="7" spans="3:6" ht="230.1" customHeight="1">
      <c r="C7" s="56" t="s">
        <v>35</v>
      </c>
    </row>
  </sheetData>
  <sheetProtection password="CF50" sheet="1" objects="1" scenarios="1" formatRows="0" sort="0" autoFilter="0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D4"/>
  <sheetViews>
    <sheetView workbookViewId="0">
      <selection activeCell="E3" sqref="E3"/>
    </sheetView>
  </sheetViews>
  <sheetFormatPr defaultRowHeight="14.4"/>
  <cols>
    <col min="2" max="2" width="33.5546875" customWidth="1"/>
    <col min="4" max="4" width="68.33203125" customWidth="1"/>
    <col min="5" max="5" width="13.44140625" customWidth="1"/>
  </cols>
  <sheetData>
    <row r="2" spans="2:4" ht="15.6">
      <c r="B2" s="15" t="s">
        <v>42</v>
      </c>
      <c r="C2" s="15" t="s">
        <v>41</v>
      </c>
      <c r="D2" s="25"/>
    </row>
    <row r="3" spans="2:4" ht="15.6">
      <c r="B3" s="1" t="s">
        <v>5</v>
      </c>
      <c r="C3" s="15">
        <v>51</v>
      </c>
      <c r="D3" s="1" t="s">
        <v>6</v>
      </c>
    </row>
    <row r="4" spans="2:4" ht="15.6">
      <c r="B4" s="1"/>
      <c r="C4" s="15">
        <v>52</v>
      </c>
      <c r="D4" s="1" t="s">
        <v>7</v>
      </c>
    </row>
  </sheetData>
  <sheetProtection password="CF50" sheet="1" objects="1" scenarios="1" formatRows="0" sort="0" autoFilter="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2:F13"/>
  <sheetViews>
    <sheetView workbookViewId="0">
      <selection activeCell="F3" sqref="F3"/>
    </sheetView>
  </sheetViews>
  <sheetFormatPr defaultRowHeight="14.4"/>
  <cols>
    <col min="2" max="2" width="33.5546875" customWidth="1"/>
    <col min="3" max="3" width="18.109375" customWidth="1"/>
    <col min="4" max="4" width="117" customWidth="1"/>
    <col min="5" max="5" width="20.88671875" customWidth="1"/>
    <col min="6" max="6" width="13.44140625" customWidth="1"/>
  </cols>
  <sheetData>
    <row r="2" spans="1:6" ht="15.6">
      <c r="B2" s="3" t="s">
        <v>42</v>
      </c>
      <c r="C2" s="3" t="s">
        <v>41</v>
      </c>
      <c r="D2" s="3"/>
      <c r="E2" s="27" t="s">
        <v>207</v>
      </c>
      <c r="F2" s="27" t="s">
        <v>206</v>
      </c>
    </row>
    <row r="3" spans="1:6" ht="15.6">
      <c r="A3" s="58" t="str">
        <f t="shared" ref="A3:A13" si="0">IF(F3,C3,C3&amp;" - нельзя выбирать")</f>
        <v>—</v>
      </c>
      <c r="B3" s="3" t="s">
        <v>8</v>
      </c>
      <c r="C3" s="3" t="s">
        <v>1</v>
      </c>
      <c r="D3" s="3" t="s">
        <v>9</v>
      </c>
      <c r="E3" s="1" t="s">
        <v>208</v>
      </c>
      <c r="F3" s="2" t="b">
        <f>IFERROR(IF(FIND('ЭЛЕМЕР-СПГ'!$O$13,E3),TRUE),FALSE)</f>
        <v>1</v>
      </c>
    </row>
    <row r="4" spans="1:6" ht="15.75" customHeight="1">
      <c r="A4" s="58" t="str">
        <f t="shared" si="0"/>
        <v>ЕхiaIIAT5</v>
      </c>
      <c r="B4" s="3"/>
      <c r="C4" s="3" t="s">
        <v>10</v>
      </c>
      <c r="D4" s="15" t="s">
        <v>201</v>
      </c>
      <c r="E4" s="1" t="s">
        <v>208</v>
      </c>
      <c r="F4" s="2" t="b">
        <f>IFERROR(IF(FIND('ЭЛЕМЕР-СПГ'!$O$13,E4),TRUE),FALSE)</f>
        <v>1</v>
      </c>
    </row>
    <row r="5" spans="1:6" ht="15.6">
      <c r="A5" s="58" t="str">
        <f t="shared" si="0"/>
        <v>ЕхiaIIBT5</v>
      </c>
      <c r="B5" s="3"/>
      <c r="C5" s="3" t="s">
        <v>11</v>
      </c>
      <c r="D5" s="15" t="s">
        <v>201</v>
      </c>
      <c r="E5" s="1" t="s">
        <v>208</v>
      </c>
      <c r="F5" s="2" t="b">
        <f>IFERROR(IF(FIND('ЭЛЕМЕР-СПГ'!$O$13,E5),TRUE),FALSE)</f>
        <v>1</v>
      </c>
    </row>
    <row r="6" spans="1:6" ht="15.75" customHeight="1">
      <c r="A6" s="58" t="str">
        <f t="shared" si="0"/>
        <v>ExdbIIAT5</v>
      </c>
      <c r="B6" s="3"/>
      <c r="C6" s="3" t="s">
        <v>12</v>
      </c>
      <c r="D6" s="15" t="s">
        <v>202</v>
      </c>
      <c r="E6" s="1" t="s">
        <v>209</v>
      </c>
      <c r="F6" s="2" t="b">
        <f>IFERROR(IF(FIND('ЭЛЕМЕР-СПГ'!$O$13,E6),TRUE),FALSE)</f>
        <v>1</v>
      </c>
    </row>
    <row r="7" spans="1:6" ht="15.6">
      <c r="A7" s="58" t="str">
        <f t="shared" si="0"/>
        <v>ExdbIIВT5</v>
      </c>
      <c r="B7" s="3"/>
      <c r="C7" s="3" t="s">
        <v>13</v>
      </c>
      <c r="D7" s="15" t="s">
        <v>202</v>
      </c>
      <c r="E7" s="1" t="s">
        <v>209</v>
      </c>
      <c r="F7" s="2" t="b">
        <f>IFERROR(IF(FIND('ЭЛЕМЕР-СПГ'!$O$13,E7),TRUE),FALSE)</f>
        <v>1</v>
      </c>
    </row>
    <row r="8" spans="1:6" ht="15.75" customHeight="1">
      <c r="A8" s="58" t="str">
        <f t="shared" si="0"/>
        <v>0ExiadbIIAT5</v>
      </c>
      <c r="B8" s="3"/>
      <c r="C8" s="3" t="s">
        <v>14</v>
      </c>
      <c r="D8" s="15" t="s">
        <v>203</v>
      </c>
      <c r="E8" s="1" t="s">
        <v>209</v>
      </c>
      <c r="F8" s="2" t="b">
        <f>IFERROR(IF(FIND('ЭЛЕМЕР-СПГ'!$O$13,E8),TRUE),FALSE)</f>
        <v>1</v>
      </c>
    </row>
    <row r="9" spans="1:6" ht="15.6">
      <c r="A9" s="58" t="str">
        <f t="shared" si="0"/>
        <v>0ExiadbIIВT5</v>
      </c>
      <c r="B9" s="3"/>
      <c r="C9" s="3" t="s">
        <v>15</v>
      </c>
      <c r="D9" s="15" t="s">
        <v>203</v>
      </c>
      <c r="E9" s="1" t="s">
        <v>209</v>
      </c>
      <c r="F9" s="2" t="b">
        <f>IFERROR(IF(FIND('ЭЛЕМЕР-СПГ'!$O$13,E9),TRUE),FALSE)</f>
        <v>1</v>
      </c>
    </row>
    <row r="10" spans="1:6" ht="15.6">
      <c r="A10" s="58" t="str">
        <f t="shared" si="0"/>
        <v>1ExdbiaIIAT5</v>
      </c>
      <c r="B10" s="3"/>
      <c r="C10" s="3" t="s">
        <v>16</v>
      </c>
      <c r="D10" s="15" t="s">
        <v>203</v>
      </c>
      <c r="E10" s="1" t="s">
        <v>209</v>
      </c>
      <c r="F10" s="2" t="b">
        <f>IFERROR(IF(FIND('ЭЛЕМЕР-СПГ'!$O$13,E10),TRUE),FALSE)</f>
        <v>1</v>
      </c>
    </row>
    <row r="11" spans="1:6" ht="15.6">
      <c r="A11" s="58" t="str">
        <f t="shared" si="0"/>
        <v>1ExdbiaIIВT5</v>
      </c>
      <c r="B11" s="3"/>
      <c r="C11" s="3" t="s">
        <v>17</v>
      </c>
      <c r="D11" s="15" t="s">
        <v>203</v>
      </c>
      <c r="E11" s="1" t="s">
        <v>209</v>
      </c>
      <c r="F11" s="2" t="b">
        <f>IFERROR(IF(FIND('ЭЛЕМЕР-СПГ'!$O$13,E11),TRUE),FALSE)</f>
        <v>1</v>
      </c>
    </row>
    <row r="12" spans="1:6" ht="15.6">
      <c r="A12" s="58" t="str">
        <f t="shared" si="0"/>
        <v>01ExiadbIIАT5</v>
      </c>
      <c r="B12" s="3"/>
      <c r="C12" s="3" t="s">
        <v>18</v>
      </c>
      <c r="D12" s="15" t="s">
        <v>203</v>
      </c>
      <c r="E12" s="1" t="s">
        <v>209</v>
      </c>
      <c r="F12" s="2" t="b">
        <f>IFERROR(IF(FIND('ЭЛЕМЕР-СПГ'!$O$13,E12),TRUE),FALSE)</f>
        <v>1</v>
      </c>
    </row>
    <row r="13" spans="1:6" ht="15.6">
      <c r="A13" s="58" t="str">
        <f t="shared" si="0"/>
        <v>01ExiadbIIВT5</v>
      </c>
      <c r="B13" s="3"/>
      <c r="C13" s="3" t="s">
        <v>19</v>
      </c>
      <c r="D13" s="15" t="s">
        <v>203</v>
      </c>
      <c r="E13" s="1" t="s">
        <v>209</v>
      </c>
      <c r="F13" s="2" t="b">
        <f>IFERROR(IF(FIND('ЭЛЕМЕР-СПГ'!$O$13,E13),TRUE),FALSE)</f>
        <v>1</v>
      </c>
    </row>
  </sheetData>
  <sheetProtection password="CF50" sheet="1" objects="1" scenarios="1" formatRows="0" sort="0" autoFilter="0"/>
  <conditionalFormatting sqref="F3:F13">
    <cfRule type="expression" dxfId="23" priority="1">
      <formula>NOT(F3)</formula>
    </cfRule>
    <cfRule type="expression" dxfId="22" priority="2">
      <formula>F3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B2:D4"/>
  <sheetViews>
    <sheetView workbookViewId="0">
      <selection activeCell="E3" sqref="E3"/>
    </sheetView>
  </sheetViews>
  <sheetFormatPr defaultRowHeight="14.4"/>
  <cols>
    <col min="2" max="2" width="45.44140625" customWidth="1"/>
  </cols>
  <sheetData>
    <row r="2" spans="2:4" ht="15.6">
      <c r="B2" s="1" t="s">
        <v>42</v>
      </c>
      <c r="C2" s="1" t="s">
        <v>41</v>
      </c>
      <c r="D2" s="2"/>
    </row>
    <row r="3" spans="2:4" ht="15.6">
      <c r="B3" s="1" t="s">
        <v>20</v>
      </c>
      <c r="C3" s="1" t="s">
        <v>1</v>
      </c>
      <c r="D3" s="1" t="s">
        <v>204</v>
      </c>
    </row>
    <row r="4" spans="2:4" ht="15.6">
      <c r="B4" s="5"/>
      <c r="C4" s="5"/>
      <c r="D4" s="4"/>
    </row>
  </sheetData>
  <sheetProtection password="CF50" sheet="1" objects="1" scenarios="1" formatRows="0" sort="0" autoFilter="0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2:G5"/>
  <sheetViews>
    <sheetView workbookViewId="0">
      <selection activeCell="F5" sqref="F5"/>
    </sheetView>
  </sheetViews>
  <sheetFormatPr defaultRowHeight="14.4"/>
  <cols>
    <col min="2" max="2" width="33.5546875" customWidth="1"/>
    <col min="4" max="4" width="63.109375" customWidth="1"/>
    <col min="5" max="5" width="16.109375" bestFit="1" customWidth="1"/>
    <col min="6" max="6" width="11" bestFit="1" customWidth="1"/>
    <col min="7" max="7" width="31.109375" bestFit="1" customWidth="1"/>
  </cols>
  <sheetData>
    <row r="2" spans="1:7" ht="15.6">
      <c r="B2" s="81" t="s">
        <v>42</v>
      </c>
      <c r="C2" s="82" t="s">
        <v>41</v>
      </c>
      <c r="D2" s="81" t="s">
        <v>195</v>
      </c>
      <c r="E2" s="81" t="s">
        <v>326</v>
      </c>
      <c r="F2" s="81" t="s">
        <v>206</v>
      </c>
      <c r="G2" s="81" t="s">
        <v>332</v>
      </c>
    </row>
    <row r="3" spans="1:7" ht="15.6">
      <c r="A3" s="58" t="str">
        <f>IF(F3,C3,C3&amp;" - нельзя выбирать")</f>
        <v>АГ24</v>
      </c>
      <c r="B3" s="1" t="s">
        <v>304</v>
      </c>
      <c r="C3" s="15" t="s">
        <v>306</v>
      </c>
      <c r="D3" s="1" t="s">
        <v>21</v>
      </c>
      <c r="E3" s="2" t="s">
        <v>328</v>
      </c>
      <c r="F3" s="41" t="b">
        <f>IFERROR(
AND(
FIND("«"&amp; 'ЭЛЕМЕР-СПГ'!$E$8 &amp;"»",E3)&gt;0,
FIND( 'ЭЛЕМЕР-СПГ'!$E$13,G3)&gt;0),FALSE)</f>
        <v>1</v>
      </c>
      <c r="G3" s="2" t="s">
        <v>333</v>
      </c>
    </row>
    <row r="4" spans="1:7" ht="15.6">
      <c r="A4" s="58" t="str">
        <f t="shared" ref="A4:A5" si="0">IF(F4,C4,C4&amp;" - нельзя выбирать")</f>
        <v>НГ24</v>
      </c>
      <c r="B4" s="1"/>
      <c r="C4" s="15" t="s">
        <v>307</v>
      </c>
      <c r="D4" s="1" t="s">
        <v>22</v>
      </c>
      <c r="E4" s="2" t="s">
        <v>328</v>
      </c>
      <c r="F4" s="41" t="b">
        <f>IFERROR(
AND(
FIND("«"&amp; 'ЭЛЕМЕР-СПГ'!$E$8 &amp;"»",E4)&gt;0,
FIND( 'ЭЛЕМЕР-СПГ'!$E$13,G4)&gt;0),FALSE)</f>
        <v>1</v>
      </c>
      <c r="G4" s="2" t="s">
        <v>333</v>
      </c>
    </row>
    <row r="5" spans="1:7" ht="15.6">
      <c r="A5" s="58" t="str">
        <f t="shared" si="0"/>
        <v>АГ22</v>
      </c>
      <c r="B5" s="1"/>
      <c r="C5" s="15" t="s">
        <v>308</v>
      </c>
      <c r="D5" s="1" t="s">
        <v>21</v>
      </c>
      <c r="E5" s="2" t="s">
        <v>327</v>
      </c>
      <c r="F5" s="41" t="b">
        <f>IFERROR(
AND(
FIND("«"&amp; 'ЭЛЕМЕР-СПГ'!$E$8 &amp;"»",E5)&gt;0,
FIND( 'ЭЛЕМЕР-СПГ'!$E$13,G5)&gt;0),FALSE)</f>
        <v>1</v>
      </c>
      <c r="G5" s="2" t="s">
        <v>334</v>
      </c>
    </row>
  </sheetData>
  <sheetProtection password="CF50" sheet="1" objects="1" scenarios="1" formatRows="0" sort="0" autoFilter="0"/>
  <conditionalFormatting sqref="F3:F5">
    <cfRule type="expression" dxfId="21" priority="1">
      <formula>NOT(F3)</formula>
    </cfRule>
    <cfRule type="expression" dxfId="20" priority="2">
      <formula>F3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2:J7"/>
  <sheetViews>
    <sheetView workbookViewId="0">
      <selection activeCell="A3" sqref="A3"/>
    </sheetView>
  </sheetViews>
  <sheetFormatPr defaultRowHeight="14.4"/>
  <cols>
    <col min="2" max="2" width="35.44140625" customWidth="1"/>
    <col min="4" max="4" width="63.109375" customWidth="1"/>
    <col min="5" max="6" width="29" customWidth="1"/>
    <col min="7" max="7" width="73.33203125" customWidth="1"/>
    <col min="8" max="8" width="9.88671875" bestFit="1" customWidth="1"/>
  </cols>
  <sheetData>
    <row r="2" spans="1:10" ht="15.6">
      <c r="B2" s="1" t="s">
        <v>42</v>
      </c>
      <c r="C2" s="15" t="s">
        <v>41</v>
      </c>
      <c r="D2" s="1" t="s">
        <v>195</v>
      </c>
      <c r="E2" s="1" t="s">
        <v>321</v>
      </c>
      <c r="F2" s="1" t="s">
        <v>322</v>
      </c>
      <c r="G2" s="1" t="s">
        <v>323</v>
      </c>
      <c r="H2" s="27" t="s">
        <v>206</v>
      </c>
    </row>
    <row r="3" spans="1:10" ht="15.6">
      <c r="A3" s="58">
        <f>IF(H3,C3,C3&amp;" - нельзя выбирать")</f>
        <v>1</v>
      </c>
      <c r="B3" s="1" t="s">
        <v>23</v>
      </c>
      <c r="C3" s="15">
        <v>1</v>
      </c>
      <c r="D3" s="1" t="s">
        <v>24</v>
      </c>
      <c r="E3" s="1" t="s">
        <v>30</v>
      </c>
      <c r="F3" s="1" t="s">
        <v>325</v>
      </c>
      <c r="G3" s="1" t="s">
        <v>210</v>
      </c>
      <c r="H3" s="2" t="b">
        <f>IFERROR(AND(FIND("«"&amp; 'ЭЛЕМЕР-СПГ'!$O$13 &amp;"»",G3)&gt;0,FIND('ЭЛЕМЕР-СПГ'!$O$8,E3)&gt;0,FIND('ЭЛЕМЕР-СПГ'!$O$11,F3)&gt;0),FALSE)</f>
        <v>1</v>
      </c>
    </row>
    <row r="4" spans="1:10" ht="15.6">
      <c r="A4" s="58">
        <f>IF(H4,C4,C4&amp;" - нельзя выбирать")</f>
        <v>2</v>
      </c>
      <c r="B4" s="1"/>
      <c r="C4" s="15">
        <v>2</v>
      </c>
      <c r="D4" s="1" t="s">
        <v>25</v>
      </c>
      <c r="E4" s="1" t="s">
        <v>30</v>
      </c>
      <c r="F4" s="1" t="s">
        <v>325</v>
      </c>
      <c r="G4" s="1" t="s">
        <v>211</v>
      </c>
      <c r="H4" s="2" t="b">
        <f>IFERROR(AND(FIND("«"&amp; 'ЭЛЕМЕР-СПГ'!$O$13 &amp;"»",G4)&gt;0,FIND('ЭЛЕМЕР-СПГ'!$O$8,E4)&gt;0,FIND('ЭЛЕМЕР-СПГ'!$O$11,F4)&gt;0),FALSE)</f>
        <v>1</v>
      </c>
    </row>
    <row r="5" spans="1:10" ht="15.6">
      <c r="A5" s="58">
        <f>IF(H5,C5,C5&amp;" - нельзя выбирать")</f>
        <v>3</v>
      </c>
      <c r="B5" s="1"/>
      <c r="C5" s="15">
        <v>3</v>
      </c>
      <c r="D5" s="1" t="s">
        <v>26</v>
      </c>
      <c r="E5" s="1" t="s">
        <v>30</v>
      </c>
      <c r="F5" s="1" t="s">
        <v>325</v>
      </c>
      <c r="G5" s="1" t="s">
        <v>212</v>
      </c>
      <c r="H5" s="2" t="b">
        <f>IFERROR(AND(FIND("«"&amp; 'ЭЛЕМЕР-СПГ'!$O$13 &amp;"»",G5)&gt;0,FIND('ЭЛЕМЕР-СПГ'!$O$8,E5)&gt;0,FIND('ЭЛЕМЕР-СПГ'!$O$11,F5)&gt;0),FALSE)</f>
        <v>1</v>
      </c>
      <c r="J5" s="78" t="s">
        <v>309</v>
      </c>
    </row>
    <row r="6" spans="1:10" ht="15.6">
      <c r="A6" s="58">
        <f>IF(H6,C6,C6&amp;" - нельзя выбирать")</f>
        <v>4</v>
      </c>
      <c r="B6" s="1"/>
      <c r="C6" s="15">
        <v>4</v>
      </c>
      <c r="D6" s="1" t="s">
        <v>27</v>
      </c>
      <c r="E6" s="1" t="s">
        <v>30</v>
      </c>
      <c r="F6" s="1" t="s">
        <v>324</v>
      </c>
      <c r="G6" s="1" t="s">
        <v>212</v>
      </c>
      <c r="H6" s="2" t="b">
        <f>IFERROR(AND(FIND("«"&amp; 'ЭЛЕМЕР-СПГ'!$O$13 &amp;"»",G6)&gt;0,FIND('ЭЛЕМЕР-СПГ'!$O$8,E6)&gt;0,FIND('ЭЛЕМЕР-СПГ'!$O$11,F6)&gt;0),FALSE)</f>
        <v>1</v>
      </c>
    </row>
    <row r="7" spans="1:10" ht="15.6">
      <c r="A7" s="58">
        <f>IF(H7,C7,C7&amp;" - нельзя выбирать")</f>
        <v>5</v>
      </c>
      <c r="B7" s="1"/>
      <c r="C7" s="15">
        <v>5</v>
      </c>
      <c r="D7" s="1" t="s">
        <v>28</v>
      </c>
      <c r="E7" s="1" t="s">
        <v>29</v>
      </c>
      <c r="F7" s="1" t="s">
        <v>324</v>
      </c>
      <c r="G7" s="1" t="s">
        <v>212</v>
      </c>
      <c r="H7" s="2" t="b">
        <f>IFERROR(AND(FIND("«"&amp; 'ЭЛЕМЕР-СПГ'!$O$13 &amp;"»",G7)&gt;0,FIND('ЭЛЕМЕР-СПГ'!$O$8,E7)&gt;0,FIND('ЭЛЕМЕР-СПГ'!$O$11,F7)&gt;0),FALSE)</f>
        <v>1</v>
      </c>
    </row>
  </sheetData>
  <sheetProtection password="CF50" sheet="1" objects="1" scenarios="1" formatRows="0" sort="0" autoFilter="0"/>
  <conditionalFormatting sqref="H3:H7">
    <cfRule type="expression" dxfId="19" priority="1">
      <formula>NOT(H3)</formula>
    </cfRule>
    <cfRule type="expression" dxfId="18" priority="2">
      <formula>H3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2:G7"/>
  <sheetViews>
    <sheetView workbookViewId="0">
      <selection activeCell="E4" sqref="E4"/>
    </sheetView>
  </sheetViews>
  <sheetFormatPr defaultRowHeight="14.4"/>
  <cols>
    <col min="2" max="2" width="45.109375" customWidth="1"/>
    <col min="4" max="4" width="63.109375" customWidth="1"/>
    <col min="5" max="6" width="27.33203125" customWidth="1"/>
    <col min="7" max="7" width="73.33203125" customWidth="1"/>
  </cols>
  <sheetData>
    <row r="2" spans="1:7" ht="15.6">
      <c r="B2" s="7" t="s">
        <v>42</v>
      </c>
      <c r="C2" s="15" t="s">
        <v>41</v>
      </c>
      <c r="D2" s="7" t="s">
        <v>195</v>
      </c>
      <c r="E2" s="2" t="s">
        <v>320</v>
      </c>
      <c r="F2" s="2" t="s">
        <v>319</v>
      </c>
    </row>
    <row r="3" spans="1:7" ht="31.2">
      <c r="A3" s="58" t="str">
        <f>IF(F3,C3,C3&amp;" - нельзя выбирать")</f>
        <v>М1 - нельзя выбирать</v>
      </c>
      <c r="B3" s="7" t="s">
        <v>192</v>
      </c>
      <c r="C3" s="15" t="s">
        <v>32</v>
      </c>
      <c r="D3" s="7" t="s">
        <v>36</v>
      </c>
      <c r="E3" s="2" t="s">
        <v>331</v>
      </c>
      <c r="F3" s="41" t="b">
        <f>IFERROR(FIND("«"&amp; 'ЭЛЕМЕР-СПГ'!$O$11 &amp;"»",E3)&gt;0,FALSE)</f>
        <v>0</v>
      </c>
      <c r="G3" s="6"/>
    </row>
    <row r="4" spans="1:7" ht="46.8">
      <c r="A4" s="58" t="str">
        <f t="shared" ref="A4:A7" si="0">IF(F4,C4,C4&amp;" - нельзя выбирать")</f>
        <v>М1П - нельзя выбирать</v>
      </c>
      <c r="B4" s="7"/>
      <c r="C4" s="15" t="s">
        <v>33</v>
      </c>
      <c r="D4" s="7" t="s">
        <v>37</v>
      </c>
      <c r="E4" s="2" t="s">
        <v>331</v>
      </c>
      <c r="F4" s="41" t="b">
        <f>IFERROR(FIND("«"&amp; 'ЭЛЕМЕР-СПГ'!$O$11 &amp;"»",E4)&gt;0,FALSE)</f>
        <v>0</v>
      </c>
      <c r="G4" s="6"/>
    </row>
    <row r="5" spans="1:7" ht="31.2">
      <c r="A5" s="58" t="str">
        <f t="shared" si="0"/>
        <v>М2</v>
      </c>
      <c r="B5" s="7"/>
      <c r="C5" s="15" t="s">
        <v>2</v>
      </c>
      <c r="D5" s="7" t="s">
        <v>38</v>
      </c>
      <c r="E5" s="2" t="s">
        <v>317</v>
      </c>
      <c r="F5" s="41" t="b">
        <f>IFERROR(FIND("«"&amp; 'ЭЛЕМЕР-СПГ'!$O$11 &amp;"»",E5)&gt;0,FALSE)</f>
        <v>1</v>
      </c>
      <c r="G5" s="6"/>
    </row>
    <row r="6" spans="1:7" ht="31.2">
      <c r="A6" s="58" t="str">
        <f t="shared" si="0"/>
        <v>М3</v>
      </c>
      <c r="B6" s="7"/>
      <c r="C6" s="15" t="s">
        <v>34</v>
      </c>
      <c r="D6" s="7" t="s">
        <v>39</v>
      </c>
      <c r="E6" s="2" t="s">
        <v>317</v>
      </c>
      <c r="F6" s="41" t="b">
        <f>IFERROR(FIND("«"&amp; 'ЭЛЕМЕР-СПГ'!$O$11 &amp;"»",E6)&gt;0,FALSE)</f>
        <v>1</v>
      </c>
      <c r="G6" s="6"/>
    </row>
    <row r="7" spans="1:7" ht="15.6">
      <c r="A7" s="58" t="str">
        <f t="shared" si="0"/>
        <v>М4</v>
      </c>
      <c r="B7" s="7"/>
      <c r="C7" s="15" t="s">
        <v>35</v>
      </c>
      <c r="D7" s="7" t="s">
        <v>40</v>
      </c>
      <c r="E7" s="2" t="s">
        <v>317</v>
      </c>
      <c r="F7" s="41" t="b">
        <f>IFERROR(FIND("«"&amp; 'ЭЛЕМЕР-СПГ'!$O$11 &amp;"»",E7)&gt;0,FALSE)</f>
        <v>1</v>
      </c>
      <c r="G7" s="6"/>
    </row>
  </sheetData>
  <sheetProtection password="CF50" sheet="1" objects="1" scenarios="1" formatRows="0" sort="0" autoFilter="0"/>
  <conditionalFormatting sqref="F3:F7">
    <cfRule type="expression" dxfId="17" priority="1">
      <formula>NOT(F3)</formula>
    </cfRule>
    <cfRule type="expression" dxfId="16" priority="2">
      <formula>F3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B1:N7"/>
  <sheetViews>
    <sheetView workbookViewId="0">
      <selection activeCell="O13" sqref="O13:S13"/>
    </sheetView>
  </sheetViews>
  <sheetFormatPr defaultRowHeight="14.4"/>
  <cols>
    <col min="2" max="2" width="45.109375" customWidth="1"/>
    <col min="4" max="4" width="63.109375" customWidth="1"/>
  </cols>
  <sheetData>
    <row r="1" spans="2:14">
      <c r="E1" t="s">
        <v>280</v>
      </c>
      <c r="J1" t="s">
        <v>281</v>
      </c>
    </row>
    <row r="2" spans="2:14" ht="15.6">
      <c r="B2" s="10" t="s">
        <v>42</v>
      </c>
      <c r="C2" s="3" t="s">
        <v>41</v>
      </c>
      <c r="D2" s="10"/>
      <c r="E2" s="15" t="s">
        <v>32</v>
      </c>
      <c r="F2" s="15" t="s">
        <v>33</v>
      </c>
      <c r="G2" s="15" t="s">
        <v>2</v>
      </c>
      <c r="H2" s="15" t="s">
        <v>34</v>
      </c>
      <c r="I2" s="40" t="s">
        <v>35</v>
      </c>
      <c r="J2" s="39" t="s">
        <v>32</v>
      </c>
      <c r="K2" s="15" t="s">
        <v>33</v>
      </c>
      <c r="L2" s="15" t="s">
        <v>2</v>
      </c>
      <c r="M2" s="15" t="s">
        <v>34</v>
      </c>
      <c r="N2" s="15" t="s">
        <v>35</v>
      </c>
    </row>
    <row r="3" spans="2:14" ht="46.8">
      <c r="B3" s="10" t="s">
        <v>193</v>
      </c>
      <c r="C3" s="3" t="s">
        <v>43</v>
      </c>
      <c r="D3" s="29" t="s">
        <v>233</v>
      </c>
      <c r="E3" s="2">
        <v>162</v>
      </c>
      <c r="F3" s="2">
        <v>162</v>
      </c>
      <c r="G3" s="2">
        <v>140</v>
      </c>
      <c r="H3" s="2">
        <v>110</v>
      </c>
      <c r="I3" s="42">
        <v>100</v>
      </c>
      <c r="J3" s="41">
        <v>6000</v>
      </c>
      <c r="K3" s="2">
        <v>6000</v>
      </c>
      <c r="L3" s="2">
        <v>3000</v>
      </c>
      <c r="M3" s="2">
        <v>2000</v>
      </c>
      <c r="N3" s="2">
        <v>100</v>
      </c>
    </row>
    <row r="4" spans="2:14" ht="31.2">
      <c r="B4" s="10"/>
      <c r="C4" s="3">
        <v>100</v>
      </c>
      <c r="D4" s="29" t="s">
        <v>234</v>
      </c>
      <c r="I4" s="38"/>
      <c r="J4" s="5"/>
    </row>
    <row r="5" spans="2:14" ht="15.6">
      <c r="B5" s="5"/>
      <c r="C5" s="5"/>
      <c r="D5" s="9"/>
    </row>
    <row r="6" spans="2:14" ht="15.6">
      <c r="B6" s="5"/>
      <c r="C6" s="5"/>
      <c r="D6" s="9"/>
    </row>
    <row r="7" spans="2:14" ht="15.6">
      <c r="B7" s="5"/>
      <c r="C7" s="5"/>
      <c r="D7" s="9"/>
      <c r="J7" s="5"/>
    </row>
  </sheetData>
  <sheetProtection password="CF50" sheet="1" objects="1" scenarios="1" formatRows="0" sort="0" autoFilter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U26"/>
  <sheetViews>
    <sheetView topLeftCell="C1" zoomScale="70" zoomScaleNormal="70" workbookViewId="0">
      <pane ySplit="3" topLeftCell="A4" activePane="bottomLeft" state="frozen"/>
      <selection activeCell="O13" sqref="O13:S13"/>
      <selection pane="bottomLeft" activeCell="L5" sqref="L5"/>
    </sheetView>
  </sheetViews>
  <sheetFormatPr defaultRowHeight="14.4"/>
  <cols>
    <col min="2" max="2" width="45.109375" customWidth="1"/>
    <col min="3" max="3" width="11.88671875" customWidth="1"/>
    <col min="4" max="4" width="63.109375" customWidth="1"/>
    <col min="5" max="5" width="28.88671875" customWidth="1"/>
    <col min="6" max="6" width="73.33203125" customWidth="1"/>
    <col min="7" max="7" width="10.33203125" customWidth="1"/>
    <col min="8" max="8" width="34.88671875" customWidth="1"/>
    <col min="9" max="9" width="32.44140625" customWidth="1"/>
    <col min="15" max="16" width="16.6640625" bestFit="1" customWidth="1"/>
  </cols>
  <sheetData>
    <row r="1" spans="1:21">
      <c r="J1" s="26" t="s">
        <v>280</v>
      </c>
      <c r="O1" s="26" t="s">
        <v>281</v>
      </c>
      <c r="T1" s="45" t="s">
        <v>282</v>
      </c>
      <c r="U1" s="26">
        <f>VLOOKUP('ЭЛЕМЕР-СПГ'!$O$22,п.12!$C$3:$G$8,5,0)</f>
        <v>100</v>
      </c>
    </row>
    <row r="2" spans="1:21" ht="15.6">
      <c r="B2" s="1" t="s">
        <v>42</v>
      </c>
      <c r="C2" s="15" t="s">
        <v>41</v>
      </c>
      <c r="D2" s="1"/>
      <c r="E2" s="1"/>
      <c r="F2" s="1"/>
      <c r="G2" s="27" t="s">
        <v>206</v>
      </c>
      <c r="J2" s="39" t="s">
        <v>32</v>
      </c>
      <c r="K2" s="15" t="s">
        <v>33</v>
      </c>
      <c r="L2" s="15" t="s">
        <v>2</v>
      </c>
      <c r="M2" s="15" t="s">
        <v>34</v>
      </c>
      <c r="N2" s="15" t="s">
        <v>35</v>
      </c>
      <c r="O2" s="39" t="s">
        <v>32</v>
      </c>
      <c r="P2" s="15" t="s">
        <v>33</v>
      </c>
      <c r="Q2" s="15" t="s">
        <v>2</v>
      </c>
      <c r="R2" s="15" t="s">
        <v>34</v>
      </c>
      <c r="S2" s="15" t="s">
        <v>35</v>
      </c>
    </row>
    <row r="3" spans="1:21" ht="15.6">
      <c r="A3" s="58" t="str">
        <f>IF(G3,C3,C3&amp;" - нельзя выбирать")</f>
        <v>— - нельзя выбирать</v>
      </c>
      <c r="B3" s="1" t="s">
        <v>44</v>
      </c>
      <c r="C3" s="15" t="s">
        <v>1</v>
      </c>
      <c r="E3" s="1" t="s">
        <v>215</v>
      </c>
      <c r="F3" s="1" t="s">
        <v>45</v>
      </c>
      <c r="G3" s="2" t="b">
        <f>IFERROR(AND(FIND("«"&amp; 'ЭЛЕМЕР-СПГ'!$O$8 &amp;"»",E3)&gt;0,FIND("«"&amp; 'ЭЛЕМЕР-СПГ'!$O$13 &amp;"»",F3)&gt;0),FALSE)</f>
        <v>0</v>
      </c>
      <c r="H3" s="43"/>
      <c r="I3" s="2"/>
      <c r="J3" t="e">
        <f>NA()</f>
        <v>#N/A</v>
      </c>
      <c r="K3" t="e">
        <f>NA()</f>
        <v>#N/A</v>
      </c>
      <c r="L3" t="e">
        <f>NA()</f>
        <v>#N/A</v>
      </c>
      <c r="M3" t="e">
        <f>NA()</f>
        <v>#N/A</v>
      </c>
      <c r="N3">
        <v>100</v>
      </c>
      <c r="O3" t="e">
        <f>NA()</f>
        <v>#N/A</v>
      </c>
      <c r="P3" t="e">
        <f>NA()</f>
        <v>#N/A</v>
      </c>
      <c r="Q3" t="e">
        <f>NA()</f>
        <v>#N/A</v>
      </c>
      <c r="R3" t="e">
        <f>NA()</f>
        <v>#N/A</v>
      </c>
      <c r="S3">
        <v>100</v>
      </c>
      <c r="T3" t="str">
        <f>IF(G3,C3,C3&amp;" - нельзя выбирать")</f>
        <v>— - нельзя выбирать</v>
      </c>
    </row>
    <row r="4" spans="1:21" ht="343.2">
      <c r="A4" s="58" t="str">
        <f t="shared" ref="A4:A13" si="0">IF(G4,C4,C4&amp;" - нельзя выбирать")</f>
        <v>HL1</v>
      </c>
      <c r="B4" s="1"/>
      <c r="C4" s="15" t="s">
        <v>46</v>
      </c>
      <c r="D4" s="15" t="s">
        <v>56</v>
      </c>
      <c r="E4" s="15" t="s">
        <v>215</v>
      </c>
      <c r="F4" s="15" t="s">
        <v>260</v>
      </c>
      <c r="G4" s="2" t="b">
        <f>IFERROR(AND(FIND("«"&amp; 'ЭЛЕМЕР-СПГ'!$O$8 &amp;"»",E4)&gt;0,FIND("«"&amp; 'ЭЛЕМЕР-СПГ'!$O$13 &amp;"»",F4)&gt;0),FALSE)</f>
        <v>1</v>
      </c>
      <c r="H4" s="29" t="s">
        <v>258</v>
      </c>
      <c r="I4" s="44" t="s">
        <v>257</v>
      </c>
      <c r="J4">
        <f>100+1.5*L_поплавка</f>
        <v>250</v>
      </c>
      <c r="K4">
        <f>100+1.5*L_поплавка</f>
        <v>250</v>
      </c>
      <c r="L4">
        <v>184</v>
      </c>
      <c r="M4">
        <v>90</v>
      </c>
      <c r="N4" s="37" t="e">
        <f>NA()</f>
        <v>#N/A</v>
      </c>
      <c r="O4" s="71">
        <f>Монт_длина-(0.5*L_поплавка+12)</f>
        <v>2938</v>
      </c>
      <c r="P4" s="71">
        <f>Монт_длина-(0.5*L_поплавка+12)</f>
        <v>2938</v>
      </c>
      <c r="Q4" s="71">
        <f>Монт_длина-(0.5*L_поплавка+12)</f>
        <v>2938</v>
      </c>
      <c r="R4" s="71">
        <f>Монт_длина-(0.5*L_поплавка+12)</f>
        <v>2938</v>
      </c>
      <c r="S4" s="72" t="e">
        <f>NA()</f>
        <v>#N/A</v>
      </c>
      <c r="T4" t="str">
        <f t="shared" ref="T4:T13" si="1">IF(G4,C4,C4&amp;" - нельзя выбирать")</f>
        <v>HL1</v>
      </c>
    </row>
    <row r="5" spans="1:21" ht="218.4">
      <c r="A5" s="58" t="str">
        <f t="shared" si="0"/>
        <v>HL2</v>
      </c>
      <c r="B5" s="1"/>
      <c r="C5" s="15" t="s">
        <v>47</v>
      </c>
      <c r="D5" s="15" t="s">
        <v>56</v>
      </c>
      <c r="E5" s="15" t="s">
        <v>215</v>
      </c>
      <c r="F5" s="15" t="s">
        <v>211</v>
      </c>
      <c r="G5" s="2" t="b">
        <f>IFERROR(AND(FIND("«"&amp; 'ЭЛЕМЕР-СПГ'!$O$8 &amp;"»",E5)&gt;0,FIND("«"&amp; 'ЭЛЕМЕР-СПГ'!$O$13 &amp;"»",F5)&gt;0),FALSE)</f>
        <v>1</v>
      </c>
      <c r="H5" s="32" t="s">
        <v>259</v>
      </c>
      <c r="I5" s="35" t="s">
        <v>257</v>
      </c>
      <c r="J5">
        <f>'ЭЛЕМЕР-СПГ'!Q15+12+2*L_поплавка</f>
        <v>512</v>
      </c>
      <c r="K5">
        <f>'ЭЛЕМЕР-СПГ'!Q15+12+2*L_поплавка</f>
        <v>512</v>
      </c>
      <c r="L5">
        <f>'ЭЛЕМЕР-СПГ'!Q15+124</f>
        <v>424</v>
      </c>
      <c r="M5" s="36" t="e">
        <f>NA()</f>
        <v>#N/A</v>
      </c>
      <c r="N5" s="46" t="e">
        <f>NA()</f>
        <v>#N/A</v>
      </c>
      <c r="O5" s="71">
        <f>Монт_длина-(0.5*L_поплавка+12)</f>
        <v>2938</v>
      </c>
      <c r="P5" s="71">
        <f>Монт_длина-(0.5*L_поплавка+12)</f>
        <v>2938</v>
      </c>
      <c r="Q5" s="71">
        <f>Монт_длина-(0.5*L_поплавка+12)</f>
        <v>2938</v>
      </c>
      <c r="R5" s="73" t="e">
        <f>NA()</f>
        <v>#N/A</v>
      </c>
      <c r="S5" s="74" t="e">
        <f>NA()</f>
        <v>#N/A</v>
      </c>
      <c r="T5" t="str">
        <f t="shared" si="1"/>
        <v>HL2</v>
      </c>
    </row>
    <row r="6" spans="1:21" ht="109.2">
      <c r="A6" s="58" t="str">
        <f t="shared" si="0"/>
        <v>HL3</v>
      </c>
      <c r="B6" s="1"/>
      <c r="C6" s="15" t="s">
        <v>48</v>
      </c>
      <c r="D6" s="15" t="s">
        <v>56</v>
      </c>
      <c r="E6" s="15" t="s">
        <v>215</v>
      </c>
      <c r="F6" s="15" t="s">
        <v>212</v>
      </c>
      <c r="G6" s="2" t="b">
        <f>IFERROR(AND(FIND("«"&amp; 'ЭЛЕМЕР-СПГ'!$O$8 &amp;"»",E6)&gt;0,FIND("«"&amp; 'ЭЛЕМЕР-СПГ'!$O$13 &amp;"»",F6)&gt;0),FALSE)</f>
        <v>1</v>
      </c>
      <c r="H6" s="32" t="s">
        <v>265</v>
      </c>
      <c r="I6" s="35" t="s">
        <v>257</v>
      </c>
      <c r="J6">
        <f>'ЭЛЕМЕР-СПГ'!Q16+12+2*L_поплавка</f>
        <v>212</v>
      </c>
      <c r="K6">
        <f>'ЭЛЕМЕР-СПГ'!Q16+12+2*L_поплавка</f>
        <v>212</v>
      </c>
      <c r="L6" s="36" t="e">
        <f>NA()</f>
        <v>#N/A</v>
      </c>
      <c r="M6" s="36" t="e">
        <f>NA()</f>
        <v>#N/A</v>
      </c>
      <c r="N6" s="46" t="e">
        <f>NA()</f>
        <v>#N/A</v>
      </c>
      <c r="O6" s="71">
        <f t="shared" ref="O6:P8" si="2">Монт_длина-(0.5*L_поплавка+12)</f>
        <v>2938</v>
      </c>
      <c r="P6" s="71">
        <f t="shared" si="2"/>
        <v>2938</v>
      </c>
      <c r="Q6" s="73" t="e">
        <f>NA()</f>
        <v>#N/A</v>
      </c>
      <c r="R6" s="73" t="e">
        <f>NA()</f>
        <v>#N/A</v>
      </c>
      <c r="S6" s="74" t="e">
        <f>NA()</f>
        <v>#N/A</v>
      </c>
      <c r="T6" t="str">
        <f t="shared" si="1"/>
        <v>HL3</v>
      </c>
    </row>
    <row r="7" spans="1:21" ht="109.2">
      <c r="A7" s="58" t="str">
        <f t="shared" si="0"/>
        <v>HL4</v>
      </c>
      <c r="B7" s="1"/>
      <c r="C7" s="15" t="s">
        <v>49</v>
      </c>
      <c r="D7" s="15" t="s">
        <v>56</v>
      </c>
      <c r="E7" s="15" t="s">
        <v>215</v>
      </c>
      <c r="F7" s="15" t="s">
        <v>213</v>
      </c>
      <c r="G7" s="2" t="b">
        <f>IFERROR(AND(FIND("«"&amp; 'ЭЛЕМЕР-СПГ'!$O$8 &amp;"»",E7)&gt;0,FIND("«"&amp; 'ЭЛЕМЕР-СПГ'!$O$13 &amp;"»",F7)&gt;0),FALSE)</f>
        <v>1</v>
      </c>
      <c r="H7" s="32" t="s">
        <v>266</v>
      </c>
      <c r="I7" s="35" t="s">
        <v>257</v>
      </c>
      <c r="J7">
        <f>'ЭЛЕМЕР-СПГ'!Q17+12+2*L_поплавка</f>
        <v>212</v>
      </c>
      <c r="K7">
        <f>'ЭЛЕМЕР-СПГ'!Q17+12+2*L_поплавка</f>
        <v>212</v>
      </c>
      <c r="L7" s="36" t="e">
        <f>NA()</f>
        <v>#N/A</v>
      </c>
      <c r="M7" s="36" t="e">
        <f>NA()</f>
        <v>#N/A</v>
      </c>
      <c r="N7" s="46" t="e">
        <f>NA()</f>
        <v>#N/A</v>
      </c>
      <c r="O7" s="71">
        <f t="shared" si="2"/>
        <v>2938</v>
      </c>
      <c r="P7" s="71">
        <f t="shared" si="2"/>
        <v>2938</v>
      </c>
      <c r="Q7" s="73" t="e">
        <f>NA()</f>
        <v>#N/A</v>
      </c>
      <c r="R7" s="73" t="e">
        <f>NA()</f>
        <v>#N/A</v>
      </c>
      <c r="S7" s="74" t="e">
        <f>NA()</f>
        <v>#N/A</v>
      </c>
      <c r="T7" t="str">
        <f t="shared" si="1"/>
        <v>HL4</v>
      </c>
    </row>
    <row r="8" spans="1:21" ht="109.2">
      <c r="A8" s="58" t="str">
        <f t="shared" si="0"/>
        <v>HL5</v>
      </c>
      <c r="B8" s="1"/>
      <c r="C8" s="15" t="s">
        <v>50</v>
      </c>
      <c r="D8" s="15" t="s">
        <v>56</v>
      </c>
      <c r="E8" s="15" t="s">
        <v>216</v>
      </c>
      <c r="F8" s="15" t="s">
        <v>213</v>
      </c>
      <c r="G8" s="2" t="b">
        <f>IFERROR(AND(FIND("«"&amp; 'ЭЛЕМЕР-СПГ'!$O$8 &amp;"»",E8)&gt;0,FIND("«"&amp; 'ЭЛЕМЕР-СПГ'!$O$13 &amp;"»",F8)&gt;0),FALSE)</f>
        <v>1</v>
      </c>
      <c r="H8" s="32" t="s">
        <v>267</v>
      </c>
      <c r="I8" s="35" t="s">
        <v>257</v>
      </c>
      <c r="J8">
        <f>'ЭЛЕМЕР-СПГ'!Q18+12+2*L_поплавка</f>
        <v>212</v>
      </c>
      <c r="K8">
        <f>'ЭЛЕМЕР-СПГ'!Q18+12+2*L_поплавка</f>
        <v>212</v>
      </c>
      <c r="L8" s="36" t="e">
        <f>NA()</f>
        <v>#N/A</v>
      </c>
      <c r="M8" s="36" t="e">
        <f>NA()</f>
        <v>#N/A</v>
      </c>
      <c r="N8" s="46" t="e">
        <f>NA()</f>
        <v>#N/A</v>
      </c>
      <c r="O8" s="71">
        <f t="shared" si="2"/>
        <v>2938</v>
      </c>
      <c r="P8" s="71">
        <f t="shared" si="2"/>
        <v>2938</v>
      </c>
      <c r="Q8" s="73" t="e">
        <f>NA()</f>
        <v>#N/A</v>
      </c>
      <c r="R8" s="73" t="e">
        <f>NA()</f>
        <v>#N/A</v>
      </c>
      <c r="S8" s="74" t="e">
        <f>NA()</f>
        <v>#N/A</v>
      </c>
      <c r="T8" t="str">
        <f t="shared" si="1"/>
        <v>HL5</v>
      </c>
    </row>
    <row r="9" spans="1:21" ht="312">
      <c r="A9" s="58" t="str">
        <f t="shared" si="0"/>
        <v>HH1</v>
      </c>
      <c r="B9" s="1"/>
      <c r="C9" s="15" t="s">
        <v>51</v>
      </c>
      <c r="D9" s="15" t="s">
        <v>57</v>
      </c>
      <c r="E9" s="15" t="s">
        <v>215</v>
      </c>
      <c r="F9" s="15" t="s">
        <v>261</v>
      </c>
      <c r="G9" s="2" t="b">
        <f>IFERROR(AND(FIND("«"&amp; 'ЭЛЕМЕР-СПГ'!$O$8 &amp;"»",E9)&gt;0,FIND("«"&amp; 'ЭЛЕМЕР-СПГ'!$O$13 &amp;"»",F9)&gt;0),FALSE)</f>
        <v>1</v>
      </c>
      <c r="H9" s="32" t="s">
        <v>262</v>
      </c>
      <c r="I9" s="35" t="s">
        <v>257</v>
      </c>
      <c r="J9">
        <f>50+0.5*L_поплавка</f>
        <v>100</v>
      </c>
      <c r="K9">
        <f>50+0.5*L_поплавка</f>
        <v>100</v>
      </c>
      <c r="L9">
        <v>78</v>
      </c>
      <c r="M9">
        <v>60</v>
      </c>
      <c r="N9" s="46" t="e">
        <f>NA()</f>
        <v>#N/A</v>
      </c>
      <c r="O9" s="75">
        <f t="shared" ref="O9:Q10" si="3">Монт_длина-(1.5*L_поплавка+13)</f>
        <v>2837</v>
      </c>
      <c r="P9" s="75">
        <f t="shared" si="3"/>
        <v>2837</v>
      </c>
      <c r="Q9" s="75">
        <f t="shared" si="3"/>
        <v>2837</v>
      </c>
      <c r="R9" s="75">
        <f>Монт_длина-50</f>
        <v>2950</v>
      </c>
      <c r="S9" s="74" t="e">
        <f>NA()</f>
        <v>#N/A</v>
      </c>
      <c r="T9" t="str">
        <f t="shared" si="1"/>
        <v>HH1</v>
      </c>
    </row>
    <row r="10" spans="1:21" ht="93.6">
      <c r="A10" s="58" t="str">
        <f t="shared" si="0"/>
        <v>HH2</v>
      </c>
      <c r="B10" s="1"/>
      <c r="C10" s="15" t="s">
        <v>52</v>
      </c>
      <c r="D10" s="15" t="s">
        <v>57</v>
      </c>
      <c r="E10" s="15" t="s">
        <v>215</v>
      </c>
      <c r="F10" s="15" t="s">
        <v>214</v>
      </c>
      <c r="G10" s="2" t="b">
        <f>IFERROR(AND(FIND("«"&amp; 'ЭЛЕМЕР-СПГ'!$O$8 &amp;"»",E10)&gt;0,FIND("«"&amp; 'ЭЛЕМЕР-СПГ'!$O$13 &amp;"»",F10)&gt;0),FALSE)</f>
        <v>1</v>
      </c>
      <c r="H10" s="33" t="s">
        <v>263</v>
      </c>
      <c r="I10" s="35" t="s">
        <v>257</v>
      </c>
      <c r="J10">
        <f>'ЭЛЕМЕР-СПГ'!Q15+12+2*L_поплавка</f>
        <v>512</v>
      </c>
      <c r="K10">
        <f>'ЭЛЕМЕР-СПГ'!Q15+12+2*L_поплавка</f>
        <v>512</v>
      </c>
      <c r="L10">
        <f>'ЭЛЕМЕР-СПГ'!Q15+124</f>
        <v>424</v>
      </c>
      <c r="M10" s="36" t="e">
        <f>NA()</f>
        <v>#N/A</v>
      </c>
      <c r="N10" s="46" t="e">
        <f>NA()</f>
        <v>#N/A</v>
      </c>
      <c r="O10" s="75">
        <f t="shared" si="3"/>
        <v>2837</v>
      </c>
      <c r="P10" s="75">
        <f t="shared" si="3"/>
        <v>2837</v>
      </c>
      <c r="Q10" s="75">
        <f t="shared" si="3"/>
        <v>2837</v>
      </c>
      <c r="R10" s="73" t="e">
        <f>NA()</f>
        <v>#N/A</v>
      </c>
      <c r="S10" s="74" t="e">
        <f>NA()</f>
        <v>#N/A</v>
      </c>
      <c r="T10" t="str">
        <f t="shared" si="1"/>
        <v>HH2</v>
      </c>
    </row>
    <row r="11" spans="1:21" ht="46.8">
      <c r="A11" s="58" t="str">
        <f t="shared" si="0"/>
        <v>HH3</v>
      </c>
      <c r="B11" s="1"/>
      <c r="C11" s="15" t="s">
        <v>53</v>
      </c>
      <c r="D11" s="15" t="s">
        <v>57</v>
      </c>
      <c r="E11" s="15" t="s">
        <v>215</v>
      </c>
      <c r="F11" s="15" t="s">
        <v>213</v>
      </c>
      <c r="G11" s="2" t="b">
        <f>IFERROR(AND(FIND("«"&amp; 'ЭЛЕМЕР-СПГ'!$O$8 &amp;"»",E11)&gt;0,FIND("«"&amp; 'ЭЛЕМЕР-СПГ'!$O$13 &amp;"»",F11)&gt;0),FALSE)</f>
        <v>1</v>
      </c>
      <c r="H11" s="33" t="s">
        <v>264</v>
      </c>
      <c r="I11" s="35" t="s">
        <v>257</v>
      </c>
      <c r="J11">
        <f>'ЭЛЕМЕР-СПГ'!Q16+12+2*L_поплавка</f>
        <v>212</v>
      </c>
      <c r="K11">
        <f>'ЭЛЕМЕР-СПГ'!Q16+12+2*L_поплавка</f>
        <v>212</v>
      </c>
      <c r="L11" s="36" t="e">
        <f>NA()</f>
        <v>#N/A</v>
      </c>
      <c r="M11" s="36" t="e">
        <f>NA()</f>
        <v>#N/A</v>
      </c>
      <c r="N11" s="46" t="e">
        <f>NA()</f>
        <v>#N/A</v>
      </c>
      <c r="O11" s="75">
        <f t="shared" ref="O11:P13" si="4">Монт_длина-(1.5*L_поплавка+13)</f>
        <v>2837</v>
      </c>
      <c r="P11" s="75">
        <f t="shared" si="4"/>
        <v>2837</v>
      </c>
      <c r="Q11" s="73" t="e">
        <f>NA()</f>
        <v>#N/A</v>
      </c>
      <c r="R11" s="73" t="e">
        <f>NA()</f>
        <v>#N/A</v>
      </c>
      <c r="S11" s="74" t="e">
        <f>NA()</f>
        <v>#N/A</v>
      </c>
      <c r="T11" t="str">
        <f t="shared" si="1"/>
        <v>HH3</v>
      </c>
    </row>
    <row r="12" spans="1:21" ht="46.8">
      <c r="A12" s="58" t="str">
        <f t="shared" si="0"/>
        <v>HH4</v>
      </c>
      <c r="B12" s="1"/>
      <c r="C12" s="15" t="s">
        <v>54</v>
      </c>
      <c r="D12" s="15" t="s">
        <v>57</v>
      </c>
      <c r="E12" s="15" t="s">
        <v>215</v>
      </c>
      <c r="F12" s="15" t="s">
        <v>212</v>
      </c>
      <c r="G12" s="2" t="b">
        <f>IFERROR(AND(FIND("«"&amp; 'ЭЛЕМЕР-СПГ'!$O$8 &amp;"»",E12)&gt;0,FIND("«"&amp; 'ЭЛЕМЕР-СПГ'!$O$13 &amp;"»",F12)&gt;0),FALSE)</f>
        <v>1</v>
      </c>
      <c r="H12" s="33" t="s">
        <v>268</v>
      </c>
      <c r="I12" s="35" t="s">
        <v>257</v>
      </c>
      <c r="J12">
        <f>'ЭЛЕМЕР-СПГ'!Q17+12+2*L_поплавка</f>
        <v>212</v>
      </c>
      <c r="K12">
        <f>'ЭЛЕМЕР-СПГ'!Q17+12+2*L_поплавка</f>
        <v>212</v>
      </c>
      <c r="L12" s="36" t="e">
        <f>NA()</f>
        <v>#N/A</v>
      </c>
      <c r="M12" s="36" t="e">
        <f>NA()</f>
        <v>#N/A</v>
      </c>
      <c r="N12" s="46" t="e">
        <f>NA()</f>
        <v>#N/A</v>
      </c>
      <c r="O12" s="75">
        <f t="shared" si="4"/>
        <v>2837</v>
      </c>
      <c r="P12" s="75">
        <f t="shared" si="4"/>
        <v>2837</v>
      </c>
      <c r="Q12" s="73" t="e">
        <f>NA()</f>
        <v>#N/A</v>
      </c>
      <c r="R12" s="73" t="e">
        <f>NA()</f>
        <v>#N/A</v>
      </c>
      <c r="S12" s="74" t="e">
        <f>NA()</f>
        <v>#N/A</v>
      </c>
      <c r="T12" t="str">
        <f t="shared" si="1"/>
        <v>HH4</v>
      </c>
    </row>
    <row r="13" spans="1:21" ht="46.8">
      <c r="A13" s="58" t="str">
        <f t="shared" si="0"/>
        <v>HH5</v>
      </c>
      <c r="B13" s="1"/>
      <c r="C13" s="15" t="s">
        <v>55</v>
      </c>
      <c r="D13" s="15" t="s">
        <v>57</v>
      </c>
      <c r="E13" s="15" t="s">
        <v>216</v>
      </c>
      <c r="F13" s="15" t="s">
        <v>212</v>
      </c>
      <c r="G13" s="2" t="b">
        <f>IFERROR(AND(FIND("«"&amp; 'ЭЛЕМЕР-СПГ'!$O$8 &amp;"»",E13)&gt;0,FIND("«"&amp; 'ЭЛЕМЕР-СПГ'!$O$13 &amp;"»",F13)&gt;0),FALSE)</f>
        <v>1</v>
      </c>
      <c r="H13" s="33" t="s">
        <v>269</v>
      </c>
      <c r="I13" s="47" t="s">
        <v>257</v>
      </c>
      <c r="J13" s="48">
        <f>'ЭЛЕМЕР-СПГ'!Q18+12+2*L_поплавка</f>
        <v>212</v>
      </c>
      <c r="K13" s="48">
        <f>'ЭЛЕМЕР-СПГ'!Q18+12+2*L_поплавка</f>
        <v>212</v>
      </c>
      <c r="L13" s="49" t="e">
        <f>NA()</f>
        <v>#N/A</v>
      </c>
      <c r="M13" s="49" t="e">
        <f>NA()</f>
        <v>#N/A</v>
      </c>
      <c r="N13" s="50" t="e">
        <f>NA()</f>
        <v>#N/A</v>
      </c>
      <c r="O13" s="75">
        <f t="shared" si="4"/>
        <v>2837</v>
      </c>
      <c r="P13" s="75">
        <f t="shared" si="4"/>
        <v>2837</v>
      </c>
      <c r="Q13" s="76" t="e">
        <f>NA()</f>
        <v>#N/A</v>
      </c>
      <c r="R13" s="76" t="e">
        <f>NA()</f>
        <v>#N/A</v>
      </c>
      <c r="S13" s="77" t="e">
        <f>NA()</f>
        <v>#N/A</v>
      </c>
      <c r="T13" t="str">
        <f t="shared" si="1"/>
        <v>HH5</v>
      </c>
    </row>
    <row r="16" spans="1:21" ht="15.6">
      <c r="E16" s="30" t="s">
        <v>245</v>
      </c>
      <c r="F16" s="31" t="s">
        <v>246</v>
      </c>
    </row>
    <row r="17" spans="5:6" ht="15.6">
      <c r="E17" s="15" t="s">
        <v>235</v>
      </c>
      <c r="F17" s="15" t="s">
        <v>249</v>
      </c>
    </row>
    <row r="18" spans="5:6" ht="15.6">
      <c r="E18" s="15" t="s">
        <v>236</v>
      </c>
      <c r="F18" s="15" t="s">
        <v>250</v>
      </c>
    </row>
    <row r="19" spans="5:6" ht="15.6">
      <c r="E19" s="15" t="s">
        <v>237</v>
      </c>
      <c r="F19" s="15" t="s">
        <v>247</v>
      </c>
    </row>
    <row r="20" spans="5:6" ht="15.6">
      <c r="E20" s="15" t="s">
        <v>238</v>
      </c>
      <c r="F20" s="15" t="s">
        <v>254</v>
      </c>
    </row>
    <row r="21" spans="5:6" ht="15.6">
      <c r="E21" s="15" t="s">
        <v>239</v>
      </c>
      <c r="F21" s="15" t="s">
        <v>256</v>
      </c>
    </row>
    <row r="22" spans="5:6" ht="15.6">
      <c r="E22" s="15" t="s">
        <v>240</v>
      </c>
      <c r="F22" s="15" t="s">
        <v>253</v>
      </c>
    </row>
    <row r="23" spans="5:6" ht="15.6">
      <c r="E23" s="15" t="s">
        <v>241</v>
      </c>
      <c r="F23" s="15" t="s">
        <v>252</v>
      </c>
    </row>
    <row r="24" spans="5:6" ht="15.6">
      <c r="E24" s="15" t="s">
        <v>242</v>
      </c>
      <c r="F24" s="15" t="s">
        <v>248</v>
      </c>
    </row>
    <row r="25" spans="5:6" ht="15.6">
      <c r="E25" s="15" t="s">
        <v>243</v>
      </c>
      <c r="F25" s="15" t="s">
        <v>251</v>
      </c>
    </row>
    <row r="26" spans="5:6" ht="15.6">
      <c r="E26" s="15" t="s">
        <v>244</v>
      </c>
      <c r="F26" s="15" t="s">
        <v>255</v>
      </c>
    </row>
  </sheetData>
  <sheetProtection password="CF50" sheet="1" objects="1" scenarios="1" formatRows="0" sort="0" autoFilter="0"/>
  <conditionalFormatting sqref="G3:G13">
    <cfRule type="expression" dxfId="15" priority="1">
      <formula>NOT(G3)</formula>
    </cfRule>
    <cfRule type="expression" dxfId="14" priority="2">
      <formula>G3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3</vt:i4>
      </vt:variant>
    </vt:vector>
  </HeadingPairs>
  <TitlesOfParts>
    <vt:vector size="22" baseType="lpstr">
      <vt:lpstr>ЭЛЕМЕР-СПГ</vt:lpstr>
      <vt:lpstr>п.2</vt:lpstr>
      <vt:lpstr>п.3</vt:lpstr>
      <vt:lpstr>п.4</vt:lpstr>
      <vt:lpstr>п.5</vt:lpstr>
      <vt:lpstr>п.6</vt:lpstr>
      <vt:lpstr>п.7</vt:lpstr>
      <vt:lpstr>п.8</vt:lpstr>
      <vt:lpstr>п.9</vt:lpstr>
      <vt:lpstr>п9_</vt:lpstr>
      <vt:lpstr>п.10</vt:lpstr>
      <vt:lpstr>п.11</vt:lpstr>
      <vt:lpstr>п.12</vt:lpstr>
      <vt:lpstr>п.13</vt:lpstr>
      <vt:lpstr>п.14</vt:lpstr>
      <vt:lpstr>п.15</vt:lpstr>
      <vt:lpstr>п.16</vt:lpstr>
      <vt:lpstr>п.17</vt:lpstr>
      <vt:lpstr>Фото</vt:lpstr>
      <vt:lpstr>L_поплавка</vt:lpstr>
      <vt:lpstr>Монт_длина</vt:lpstr>
      <vt:lpstr>'ЭЛЕМЕР-СПГ'!Область_печати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2026-08-10T12:05:09Z</dcterms:modified>
</cp:coreProperties>
</file>